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never" defaultThemeVersion="166925"/>
  <mc:AlternateContent xmlns:mc="http://schemas.openxmlformats.org/markup-compatibility/2006">
    <mc:Choice Requires="x15">
      <x15ac:absPath xmlns:x15ac="http://schemas.microsoft.com/office/spreadsheetml/2010/11/ac" url="C:\Users\M992704\AppData\Local\Microsoft\Windows\INetCache\Content.Outlook\0GMYWHWE\"/>
    </mc:Choice>
  </mc:AlternateContent>
  <xr:revisionPtr revIDLastSave="0" documentId="13_ncr:1_{032AF5AE-7E50-4307-A5FB-4540D7BDE374}" xr6:coauthVersionLast="47" xr6:coauthVersionMax="47" xr10:uidLastSave="{00000000-0000-0000-0000-000000000000}"/>
  <bookViews>
    <workbookView xWindow="-120" yWindow="-120" windowWidth="29040" windowHeight="15840" xr2:uid="{82A04952-E2FF-4A89-87AE-39010027FF5F}"/>
  </bookViews>
  <sheets>
    <sheet name="Intro" sheetId="6" r:id="rId1"/>
    <sheet name="Background" sheetId="16" r:id="rId2"/>
    <sheet name="Solent Marine Sites" sheetId="15" r:id="rId3"/>
    <sheet name="Instructions" sheetId="17" r:id="rId4"/>
    <sheet name="Development site details" sheetId="2" r:id="rId5"/>
    <sheet name="Stage 1" sheetId="7" r:id="rId6"/>
    <sheet name="Stage 2" sheetId="8" r:id="rId7"/>
    <sheet name="Stage 3" sheetId="9" r:id="rId8"/>
    <sheet name="Stage 4" sheetId="10" r:id="rId9"/>
    <sheet name="Stage 4 (2)" sheetId="13" state="hidden" r:id="rId10"/>
    <sheet name="Lookups" sheetId="3" r:id="rId11"/>
  </sheets>
  <externalReferences>
    <externalReference r:id="rId1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3" l="1"/>
  <c r="G40" i="3"/>
  <c r="E40" i="3"/>
  <c r="G43" i="3"/>
  <c r="E43" i="3"/>
  <c r="G48" i="3"/>
  <c r="E48" i="3"/>
  <c r="G49" i="3"/>
  <c r="E49" i="3"/>
  <c r="G68" i="3"/>
  <c r="E68" i="3"/>
  <c r="G70" i="3"/>
  <c r="E70" i="3"/>
  <c r="G80" i="3"/>
  <c r="E80" i="3"/>
  <c r="D16" i="7"/>
  <c r="G10" i="7"/>
  <c r="G16" i="8"/>
  <c r="G17" i="8"/>
  <c r="G18" i="8"/>
  <c r="G19" i="8"/>
  <c r="G20" i="8"/>
  <c r="G21" i="8"/>
  <c r="G22" i="8"/>
  <c r="G23" i="8"/>
  <c r="G24" i="8"/>
  <c r="G25" i="8"/>
  <c r="G26" i="8"/>
  <c r="G27" i="8"/>
  <c r="G28" i="8"/>
  <c r="G29" i="8"/>
  <c r="G30" i="8"/>
  <c r="G31" i="8"/>
  <c r="G15" i="8"/>
  <c r="E16" i="8"/>
  <c r="E15" i="8"/>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1" i="3"/>
  <c r="G42" i="3"/>
  <c r="G44" i="3"/>
  <c r="G45" i="3"/>
  <c r="G46" i="3"/>
  <c r="G47" i="3"/>
  <c r="G50" i="3"/>
  <c r="G51" i="3"/>
  <c r="G52" i="3"/>
  <c r="G53" i="3"/>
  <c r="G54" i="3"/>
  <c r="G55" i="3"/>
  <c r="G56" i="3"/>
  <c r="G57" i="3"/>
  <c r="G58" i="3"/>
  <c r="G59" i="3"/>
  <c r="G60" i="3"/>
  <c r="G61" i="3"/>
  <c r="G62" i="3"/>
  <c r="G63" i="3"/>
  <c r="G64" i="3"/>
  <c r="G65" i="3"/>
  <c r="G66" i="3"/>
  <c r="G67" i="3"/>
  <c r="G69" i="3"/>
  <c r="G71" i="3"/>
  <c r="G72" i="3"/>
  <c r="G73" i="3"/>
  <c r="G74" i="3"/>
  <c r="G75" i="3"/>
  <c r="G76" i="3"/>
  <c r="G77" i="3"/>
  <c r="G78" i="3"/>
  <c r="G79" i="3"/>
  <c r="G81" i="3"/>
  <c r="G82" i="3"/>
  <c r="G83" i="3"/>
  <c r="G84" i="3"/>
  <c r="G85" i="3"/>
  <c r="G87" i="3"/>
  <c r="G88"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1" i="3"/>
  <c r="E42" i="3"/>
  <c r="E44" i="3"/>
  <c r="E45" i="3"/>
  <c r="E46" i="3"/>
  <c r="E47" i="3"/>
  <c r="E50" i="3"/>
  <c r="E51" i="3"/>
  <c r="E52" i="3"/>
  <c r="E53" i="3"/>
  <c r="E54" i="3"/>
  <c r="E55" i="3"/>
  <c r="E56" i="3"/>
  <c r="E57" i="3"/>
  <c r="E58" i="3"/>
  <c r="E59" i="3"/>
  <c r="E60" i="3"/>
  <c r="E61" i="3"/>
  <c r="E62" i="3"/>
  <c r="E63" i="3"/>
  <c r="E64" i="3"/>
  <c r="E65" i="3"/>
  <c r="E66" i="3"/>
  <c r="E67" i="3"/>
  <c r="E69" i="3"/>
  <c r="E71" i="3"/>
  <c r="E72" i="3"/>
  <c r="E73" i="3"/>
  <c r="E74" i="3"/>
  <c r="E75" i="3"/>
  <c r="E76" i="3"/>
  <c r="E77" i="3"/>
  <c r="E78" i="3"/>
  <c r="E79" i="3"/>
  <c r="E81" i="3"/>
  <c r="E82" i="3"/>
  <c r="E83" i="3"/>
  <c r="E84" i="3"/>
  <c r="E85" i="3"/>
  <c r="E87" i="3"/>
  <c r="E88" i="3"/>
  <c r="E8" i="3"/>
  <c r="M138" i="3"/>
  <c r="M133" i="3"/>
  <c r="M126" i="3"/>
  <c r="M123" i="3"/>
  <c r="M114" i="3"/>
  <c r="M100" i="3"/>
  <c r="E17" i="8"/>
  <c r="E18" i="8"/>
  <c r="E19" i="8"/>
  <c r="E20" i="8"/>
  <c r="E21" i="8"/>
  <c r="E22" i="8"/>
  <c r="E23" i="8"/>
  <c r="E24" i="8"/>
  <c r="E25" i="8"/>
  <c r="E26" i="8"/>
  <c r="E31" i="8"/>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503" i="3"/>
  <c r="H504" i="3"/>
  <c r="H505" i="3"/>
  <c r="H506" i="3"/>
  <c r="H507" i="3"/>
  <c r="H508" i="3"/>
  <c r="H509" i="3"/>
  <c r="H510" i="3"/>
  <c r="H511" i="3"/>
  <c r="H512" i="3"/>
  <c r="H513" i="3"/>
  <c r="H514" i="3"/>
  <c r="H515" i="3"/>
  <c r="H516" i="3"/>
  <c r="H517" i="3"/>
  <c r="H518" i="3"/>
  <c r="H519" i="3"/>
  <c r="H520" i="3"/>
  <c r="H521" i="3"/>
  <c r="H522" i="3"/>
  <c r="H523" i="3"/>
  <c r="H524" i="3"/>
  <c r="H525" i="3"/>
  <c r="H526" i="3"/>
  <c r="H527" i="3"/>
  <c r="H528" i="3"/>
  <c r="H529" i="3"/>
  <c r="H530" i="3"/>
  <c r="H531" i="3"/>
  <c r="H532" i="3"/>
  <c r="H533" i="3"/>
  <c r="H534" i="3"/>
  <c r="H535" i="3"/>
  <c r="H536" i="3"/>
  <c r="H537" i="3"/>
  <c r="H538" i="3"/>
  <c r="H539" i="3"/>
  <c r="H540" i="3"/>
  <c r="H541" i="3"/>
  <c r="H542" i="3"/>
  <c r="H543" i="3"/>
  <c r="H544" i="3"/>
  <c r="H545" i="3"/>
  <c r="H546" i="3"/>
  <c r="H547" i="3"/>
  <c r="H548" i="3"/>
  <c r="H549" i="3"/>
  <c r="H550" i="3"/>
  <c r="H551" i="3"/>
  <c r="H552" i="3"/>
  <c r="H553" i="3"/>
  <c r="H554" i="3"/>
  <c r="H555" i="3"/>
  <c r="H556" i="3"/>
  <c r="H557" i="3"/>
  <c r="H558" i="3"/>
  <c r="H559" i="3"/>
  <c r="H560" i="3"/>
  <c r="H561" i="3"/>
  <c r="H562" i="3"/>
  <c r="H563" i="3"/>
  <c r="H564" i="3"/>
  <c r="H565" i="3"/>
  <c r="H566" i="3"/>
  <c r="H567" i="3"/>
  <c r="H568" i="3"/>
  <c r="H569" i="3"/>
  <c r="H570" i="3"/>
  <c r="H571" i="3"/>
  <c r="H572" i="3"/>
  <c r="H573" i="3"/>
  <c r="H574" i="3"/>
  <c r="H575" i="3"/>
  <c r="H576" i="3"/>
  <c r="H577" i="3"/>
  <c r="H578" i="3"/>
  <c r="H579" i="3"/>
  <c r="H580" i="3"/>
  <c r="H581" i="3"/>
  <c r="H582" i="3"/>
  <c r="H583" i="3"/>
  <c r="H584" i="3"/>
  <c r="H585" i="3"/>
  <c r="H586" i="3"/>
  <c r="H587" i="3"/>
  <c r="H588" i="3"/>
  <c r="H589" i="3"/>
  <c r="H590" i="3"/>
  <c r="H591" i="3"/>
  <c r="H592" i="3"/>
  <c r="H593" i="3"/>
  <c r="H594" i="3"/>
  <c r="H595" i="3"/>
  <c r="H596" i="3"/>
  <c r="H597" i="3"/>
  <c r="H598" i="3"/>
  <c r="H599" i="3"/>
  <c r="H600" i="3"/>
  <c r="H601" i="3"/>
  <c r="H602" i="3"/>
  <c r="H603" i="3"/>
  <c r="H604" i="3"/>
  <c r="H605" i="3"/>
  <c r="H606" i="3"/>
  <c r="H607" i="3"/>
  <c r="H608" i="3"/>
  <c r="H609" i="3"/>
  <c r="H610" i="3"/>
  <c r="H23" i="7"/>
  <c r="C16" i="10"/>
  <c r="D15" i="7" l="1"/>
  <c r="E12" i="9"/>
  <c r="E13" i="9"/>
  <c r="E18" i="9"/>
  <c r="E19" i="9"/>
  <c r="E20" i="9"/>
  <c r="E21" i="9"/>
  <c r="E22" i="9"/>
  <c r="E23" i="9"/>
  <c r="E24" i="9"/>
  <c r="E25" i="9"/>
  <c r="E26" i="9"/>
  <c r="E10" i="9"/>
  <c r="O94" i="3"/>
  <c r="O101" i="3"/>
  <c r="O109" i="3"/>
  <c r="O115" i="3"/>
  <c r="O120" i="3"/>
  <c r="O124" i="3"/>
  <c r="O127" i="3"/>
  <c r="O135" i="3"/>
  <c r="O139" i="3"/>
  <c r="O147" i="3"/>
  <c r="O157" i="3"/>
  <c r="O163" i="3"/>
  <c r="O165" i="3"/>
  <c r="O170" i="3"/>
  <c r="O176" i="3"/>
  <c r="O186" i="3"/>
  <c r="O192" i="3"/>
  <c r="O196" i="3"/>
  <c r="O201" i="3"/>
  <c r="O206" i="3"/>
  <c r="O209" i="3"/>
  <c r="O213" i="3"/>
  <c r="O215" i="3"/>
  <c r="O222" i="3"/>
  <c r="O226" i="3"/>
  <c r="O228" i="3"/>
  <c r="O233" i="3"/>
  <c r="O236" i="3"/>
  <c r="O240" i="3"/>
  <c r="O245" i="3"/>
  <c r="O249" i="3"/>
  <c r="O254" i="3"/>
  <c r="O256" i="3"/>
  <c r="O260" i="3"/>
  <c r="O265" i="3"/>
  <c r="O271" i="3"/>
  <c r="O276" i="3"/>
  <c r="O279" i="3"/>
  <c r="O282" i="3"/>
  <c r="O284" i="3"/>
  <c r="O285" i="3"/>
  <c r="O286" i="3"/>
  <c r="O287" i="3"/>
  <c r="O290" i="3"/>
  <c r="O292" i="3"/>
  <c r="O296" i="3"/>
  <c r="O300" i="3"/>
  <c r="O303" i="3"/>
  <c r="O306" i="3"/>
  <c r="O308" i="3"/>
  <c r="O313" i="3"/>
  <c r="O316" i="3"/>
  <c r="O323" i="3"/>
  <c r="O330" i="3"/>
  <c r="O333" i="3"/>
  <c r="O337" i="3"/>
  <c r="O341" i="3"/>
  <c r="O345" i="3"/>
  <c r="O351" i="3"/>
  <c r="N351" i="3"/>
  <c r="N345" i="3"/>
  <c r="N341" i="3"/>
  <c r="N337" i="3"/>
  <c r="N333" i="3"/>
  <c r="N330" i="3"/>
  <c r="N323" i="3"/>
  <c r="N316" i="3"/>
  <c r="N313" i="3"/>
  <c r="N308" i="3"/>
  <c r="N306" i="3"/>
  <c r="N303" i="3"/>
  <c r="N300" i="3"/>
  <c r="N296" i="3"/>
  <c r="N292" i="3"/>
  <c r="N290" i="3"/>
  <c r="N287" i="3"/>
  <c r="N285" i="3"/>
  <c r="N286" i="3"/>
  <c r="N284" i="3"/>
  <c r="N282" i="3"/>
  <c r="N279" i="3"/>
  <c r="N276" i="3"/>
  <c r="N271" i="3"/>
  <c r="N265" i="3"/>
  <c r="N260" i="3"/>
  <c r="N256" i="3"/>
  <c r="N254" i="3"/>
  <c r="N249" i="3"/>
  <c r="N245" i="3"/>
  <c r="N240" i="3"/>
  <c r="N236" i="3"/>
  <c r="N233" i="3"/>
  <c r="N228" i="3"/>
  <c r="N226" i="3"/>
  <c r="N222" i="3"/>
  <c r="N215" i="3"/>
  <c r="N213" i="3"/>
  <c r="N209" i="3"/>
  <c r="N206" i="3"/>
  <c r="N201" i="3"/>
  <c r="N196" i="3"/>
  <c r="N192" i="3"/>
  <c r="N186" i="3"/>
  <c r="N176" i="3"/>
  <c r="N170" i="3"/>
  <c r="N165" i="3"/>
  <c r="N163" i="3"/>
  <c r="N157" i="3"/>
  <c r="N147" i="3"/>
  <c r="N139" i="3"/>
  <c r="N135" i="3"/>
  <c r="N127" i="3"/>
  <c r="N124" i="3"/>
  <c r="N120" i="3"/>
  <c r="N115" i="3"/>
  <c r="N109" i="3"/>
  <c r="N101" i="3"/>
  <c r="N94" i="3"/>
  <c r="M94" i="3"/>
  <c r="M101" i="3"/>
  <c r="M107" i="3"/>
  <c r="M109" i="3"/>
  <c r="M115" i="3"/>
  <c r="M120" i="3"/>
  <c r="M124" i="3"/>
  <c r="M127" i="3"/>
  <c r="M135" i="3"/>
  <c r="M139" i="3"/>
  <c r="M145" i="3"/>
  <c r="M147" i="3"/>
  <c r="M153" i="3"/>
  <c r="M155" i="3"/>
  <c r="M157" i="3"/>
  <c r="M162" i="3"/>
  <c r="M163" i="3"/>
  <c r="M165" i="3"/>
  <c r="M170" i="3"/>
  <c r="M175" i="3"/>
  <c r="M176" i="3"/>
  <c r="M182" i="3"/>
  <c r="M184" i="3"/>
  <c r="M186" i="3"/>
  <c r="M192" i="3"/>
  <c r="M195" i="3"/>
  <c r="M196" i="3"/>
  <c r="M199" i="3"/>
  <c r="M201" i="3"/>
  <c r="M204" i="3"/>
  <c r="M206" i="3"/>
  <c r="M208" i="3"/>
  <c r="M209" i="3"/>
  <c r="M211" i="3"/>
  <c r="M213" i="3"/>
  <c r="M215" i="3"/>
  <c r="M220" i="3"/>
  <c r="M222" i="3"/>
  <c r="M224" i="3"/>
  <c r="M226" i="3"/>
  <c r="M228" i="3"/>
  <c r="M231" i="3"/>
  <c r="M233" i="3"/>
  <c r="M235" i="3"/>
  <c r="M236" i="3"/>
  <c r="M245" i="3"/>
  <c r="M249" i="3"/>
  <c r="M254" i="3"/>
  <c r="M256" i="3"/>
  <c r="M260" i="3"/>
  <c r="M265" i="3"/>
  <c r="M271" i="3"/>
  <c r="M276" i="3"/>
  <c r="M278" i="3"/>
  <c r="M279" i="3"/>
  <c r="M281" i="3"/>
  <c r="M282" i="3"/>
  <c r="M283" i="3"/>
  <c r="M284" i="3"/>
  <c r="M285" i="3"/>
  <c r="M286" i="3"/>
  <c r="M287" i="3"/>
  <c r="M289" i="3"/>
  <c r="M290" i="3"/>
  <c r="M291" i="3"/>
  <c r="M292" i="3"/>
  <c r="M295" i="3"/>
  <c r="M296" i="3"/>
  <c r="M299" i="3"/>
  <c r="M300" i="3"/>
  <c r="M302" i="3"/>
  <c r="M303" i="3"/>
  <c r="M304" i="3"/>
  <c r="M306" i="3"/>
  <c r="M308" i="3"/>
  <c r="M311" i="3"/>
  <c r="M313" i="3"/>
  <c r="M315" i="3"/>
  <c r="M316" i="3"/>
  <c r="M320" i="3"/>
  <c r="M322" i="3"/>
  <c r="M323" i="3"/>
  <c r="M327" i="3"/>
  <c r="M329" i="3"/>
  <c r="M330" i="3"/>
  <c r="M332" i="3"/>
  <c r="M333" i="3"/>
  <c r="M335" i="3"/>
  <c r="M337" i="3"/>
  <c r="M341" i="3"/>
  <c r="M344" i="3"/>
  <c r="M345" i="3"/>
  <c r="M349" i="3"/>
  <c r="M350" i="3"/>
  <c r="M351" i="3"/>
  <c r="M353" i="3"/>
  <c r="L353" i="3"/>
  <c r="L351" i="3"/>
  <c r="L350" i="3"/>
  <c r="L349" i="3"/>
  <c r="L345" i="3"/>
  <c r="L344" i="3"/>
  <c r="L341" i="3"/>
  <c r="L337" i="3"/>
  <c r="L335" i="3"/>
  <c r="L333" i="3"/>
  <c r="L332" i="3"/>
  <c r="L330" i="3"/>
  <c r="L329" i="3"/>
  <c r="L327" i="3"/>
  <c r="L323" i="3"/>
  <c r="L322" i="3"/>
  <c r="L320" i="3"/>
  <c r="L316" i="3"/>
  <c r="L315" i="3"/>
  <c r="L313" i="3"/>
  <c r="L311" i="3"/>
  <c r="L308" i="3"/>
  <c r="L306" i="3"/>
  <c r="L304" i="3"/>
  <c r="L303" i="3"/>
  <c r="L302" i="3"/>
  <c r="L300" i="3"/>
  <c r="L299" i="3"/>
  <c r="L296" i="3"/>
  <c r="L295" i="3"/>
  <c r="L292" i="3"/>
  <c r="L291" i="3"/>
  <c r="L290" i="3"/>
  <c r="L289" i="3"/>
  <c r="L287" i="3"/>
  <c r="L286" i="3"/>
  <c r="L285" i="3"/>
  <c r="L284" i="3"/>
  <c r="L283" i="3"/>
  <c r="L282" i="3"/>
  <c r="L281" i="3"/>
  <c r="L279" i="3"/>
  <c r="L278" i="3"/>
  <c r="L276" i="3"/>
  <c r="L271" i="3"/>
  <c r="L265" i="3"/>
  <c r="L260" i="3"/>
  <c r="L256" i="3"/>
  <c r="L254" i="3"/>
  <c r="L249" i="3"/>
  <c r="L245" i="3"/>
  <c r="L236" i="3"/>
  <c r="L235" i="3"/>
  <c r="L233" i="3"/>
  <c r="L231" i="3"/>
  <c r="L228" i="3"/>
  <c r="L226" i="3"/>
  <c r="L224" i="3"/>
  <c r="L222" i="3"/>
  <c r="L220" i="3"/>
  <c r="L215" i="3"/>
  <c r="L213" i="3"/>
  <c r="L211" i="3"/>
  <c r="L209" i="3"/>
  <c r="L208" i="3"/>
  <c r="L206" i="3"/>
  <c r="L204" i="3"/>
  <c r="L201" i="3"/>
  <c r="L199" i="3"/>
  <c r="L196" i="3"/>
  <c r="L195" i="3"/>
  <c r="L192" i="3"/>
  <c r="L186" i="3"/>
  <c r="L184" i="3"/>
  <c r="L182" i="3"/>
  <c r="L176" i="3"/>
  <c r="L175" i="3"/>
  <c r="L170" i="3"/>
  <c r="L165" i="3"/>
  <c r="L163" i="3"/>
  <c r="L162" i="3"/>
  <c r="L157" i="3"/>
  <c r="L155" i="3"/>
  <c r="L153" i="3"/>
  <c r="L147" i="3"/>
  <c r="L145" i="3"/>
  <c r="L139" i="3"/>
  <c r="L138" i="3"/>
  <c r="L135" i="3"/>
  <c r="L133" i="3"/>
  <c r="L127" i="3"/>
  <c r="L126" i="3"/>
  <c r="L124" i="3"/>
  <c r="L123" i="3"/>
  <c r="L120" i="3"/>
  <c r="L115" i="3"/>
  <c r="L114" i="3"/>
  <c r="L109" i="3"/>
  <c r="L107" i="3"/>
  <c r="L101" i="3"/>
  <c r="L100" i="3"/>
  <c r="E17" i="9"/>
  <c r="L94" i="3"/>
  <c r="K94" i="3" l="1"/>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254" i="3"/>
  <c r="K255" i="3"/>
  <c r="K256" i="3"/>
  <c r="K257" i="3"/>
  <c r="K258" i="3"/>
  <c r="K259" i="3"/>
  <c r="K260" i="3"/>
  <c r="K261" i="3"/>
  <c r="K262" i="3"/>
  <c r="K263" i="3"/>
  <c r="K264" i="3"/>
  <c r="K265" i="3"/>
  <c r="K266" i="3"/>
  <c r="K267" i="3"/>
  <c r="K268" i="3"/>
  <c r="K269" i="3"/>
  <c r="K270" i="3"/>
  <c r="K271" i="3"/>
  <c r="K272" i="3"/>
  <c r="K273" i="3"/>
  <c r="K274" i="3"/>
  <c r="K275" i="3"/>
  <c r="K276" i="3"/>
  <c r="K277" i="3"/>
  <c r="K278" i="3"/>
  <c r="K279" i="3"/>
  <c r="K280" i="3"/>
  <c r="K281" i="3"/>
  <c r="K282" i="3"/>
  <c r="K283" i="3"/>
  <c r="K284" i="3"/>
  <c r="K285" i="3"/>
  <c r="K286" i="3"/>
  <c r="K287" i="3"/>
  <c r="K288" i="3"/>
  <c r="K289" i="3"/>
  <c r="K290" i="3"/>
  <c r="K291" i="3"/>
  <c r="K292" i="3"/>
  <c r="K293" i="3"/>
  <c r="K294" i="3"/>
  <c r="K295" i="3"/>
  <c r="K296" i="3"/>
  <c r="K297" i="3"/>
  <c r="K298" i="3"/>
  <c r="K299" i="3"/>
  <c r="K300" i="3"/>
  <c r="K301" i="3"/>
  <c r="K302" i="3"/>
  <c r="K303" i="3"/>
  <c r="K304" i="3"/>
  <c r="K305" i="3"/>
  <c r="K306" i="3"/>
  <c r="K307" i="3"/>
  <c r="K308" i="3"/>
  <c r="K309" i="3"/>
  <c r="K310" i="3"/>
  <c r="K311" i="3"/>
  <c r="K312" i="3"/>
  <c r="K313" i="3"/>
  <c r="K314" i="3"/>
  <c r="K315" i="3"/>
  <c r="K316" i="3"/>
  <c r="K317" i="3"/>
  <c r="K318" i="3"/>
  <c r="K319" i="3"/>
  <c r="K320" i="3"/>
  <c r="K321" i="3"/>
  <c r="K322" i="3"/>
  <c r="K323" i="3"/>
  <c r="K324" i="3"/>
  <c r="K325" i="3"/>
  <c r="K326" i="3"/>
  <c r="K327" i="3"/>
  <c r="K328" i="3"/>
  <c r="K329" i="3"/>
  <c r="K330" i="3"/>
  <c r="K331" i="3"/>
  <c r="K332" i="3"/>
  <c r="K333" i="3"/>
  <c r="K334" i="3"/>
  <c r="K335" i="3"/>
  <c r="K336" i="3"/>
  <c r="K337" i="3"/>
  <c r="K338" i="3"/>
  <c r="K339" i="3"/>
  <c r="K340" i="3"/>
  <c r="K341" i="3"/>
  <c r="K342" i="3"/>
  <c r="K343" i="3"/>
  <c r="K344" i="3"/>
  <c r="K345" i="3"/>
  <c r="K346" i="3"/>
  <c r="K347" i="3"/>
  <c r="K348" i="3"/>
  <c r="K349" i="3"/>
  <c r="K350" i="3"/>
  <c r="K351" i="3"/>
  <c r="K352" i="3"/>
  <c r="K353" i="3"/>
  <c r="K354"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I612" i="3" l="1"/>
  <c r="J612" i="3"/>
  <c r="E30" i="8" s="1"/>
  <c r="K356" i="3" l="1"/>
  <c r="K357" i="3"/>
  <c r="K358" i="3"/>
  <c r="K359" i="3"/>
  <c r="K360" i="3"/>
  <c r="K361" i="3"/>
  <c r="K362" i="3"/>
  <c r="K363" i="3"/>
  <c r="K364" i="3"/>
  <c r="K365" i="3"/>
  <c r="K366" i="3"/>
  <c r="K367" i="3"/>
  <c r="K368" i="3"/>
  <c r="K369" i="3"/>
  <c r="K370" i="3"/>
  <c r="K371" i="3"/>
  <c r="K372" i="3"/>
  <c r="K373" i="3"/>
  <c r="K374" i="3"/>
  <c r="K375" i="3"/>
  <c r="K376" i="3"/>
  <c r="K377" i="3"/>
  <c r="K378" i="3"/>
  <c r="K379" i="3"/>
  <c r="K380" i="3"/>
  <c r="K381" i="3"/>
  <c r="K382" i="3"/>
  <c r="K383" i="3"/>
  <c r="K384" i="3"/>
  <c r="K385" i="3"/>
  <c r="K386" i="3"/>
  <c r="K387" i="3"/>
  <c r="K388" i="3"/>
  <c r="K389" i="3"/>
  <c r="K390" i="3"/>
  <c r="K391" i="3"/>
  <c r="K392" i="3"/>
  <c r="K393" i="3"/>
  <c r="K394" i="3"/>
  <c r="K395" i="3"/>
  <c r="K396" i="3"/>
  <c r="K397" i="3"/>
  <c r="K398" i="3"/>
  <c r="K399" i="3"/>
  <c r="K400" i="3"/>
  <c r="K401" i="3"/>
  <c r="K402" i="3"/>
  <c r="K403" i="3"/>
  <c r="K404" i="3"/>
  <c r="K405" i="3"/>
  <c r="K406" i="3"/>
  <c r="K407" i="3"/>
  <c r="K408" i="3"/>
  <c r="K409" i="3"/>
  <c r="K410" i="3"/>
  <c r="K411" i="3"/>
  <c r="K412" i="3"/>
  <c r="K413" i="3"/>
  <c r="K414" i="3"/>
  <c r="K415" i="3"/>
  <c r="K416" i="3"/>
  <c r="K417" i="3"/>
  <c r="K418" i="3"/>
  <c r="K419" i="3"/>
  <c r="K420" i="3"/>
  <c r="K421" i="3"/>
  <c r="K422" i="3"/>
  <c r="K423" i="3"/>
  <c r="K424" i="3"/>
  <c r="K425" i="3"/>
  <c r="K426" i="3"/>
  <c r="K427" i="3"/>
  <c r="K428" i="3"/>
  <c r="K429" i="3"/>
  <c r="K430" i="3"/>
  <c r="K431" i="3"/>
  <c r="K432" i="3"/>
  <c r="K433" i="3"/>
  <c r="K434" i="3"/>
  <c r="K435" i="3"/>
  <c r="K436" i="3"/>
  <c r="K437" i="3"/>
  <c r="K438" i="3"/>
  <c r="K439" i="3"/>
  <c r="K440" i="3"/>
  <c r="K441" i="3"/>
  <c r="K442" i="3"/>
  <c r="K443" i="3"/>
  <c r="K444" i="3"/>
  <c r="K445" i="3"/>
  <c r="K446" i="3"/>
  <c r="K447" i="3"/>
  <c r="K448" i="3"/>
  <c r="K449" i="3"/>
  <c r="K450" i="3"/>
  <c r="K451" i="3"/>
  <c r="K452" i="3"/>
  <c r="K453" i="3"/>
  <c r="K454" i="3"/>
  <c r="K455" i="3"/>
  <c r="K456" i="3"/>
  <c r="K457" i="3"/>
  <c r="K458" i="3"/>
  <c r="K459" i="3"/>
  <c r="K460" i="3"/>
  <c r="K461" i="3"/>
  <c r="K462" i="3"/>
  <c r="K463" i="3"/>
  <c r="K464" i="3"/>
  <c r="K465" i="3"/>
  <c r="K466" i="3"/>
  <c r="K467" i="3"/>
  <c r="K468" i="3"/>
  <c r="K469" i="3"/>
  <c r="K470" i="3"/>
  <c r="K471" i="3"/>
  <c r="K472" i="3"/>
  <c r="K473" i="3"/>
  <c r="K474" i="3"/>
  <c r="K475" i="3"/>
  <c r="K476" i="3"/>
  <c r="K477" i="3"/>
  <c r="K478" i="3"/>
  <c r="K479" i="3"/>
  <c r="K480" i="3"/>
  <c r="K481" i="3"/>
  <c r="K482" i="3"/>
  <c r="K483" i="3"/>
  <c r="K484" i="3"/>
  <c r="K485" i="3"/>
  <c r="K486" i="3"/>
  <c r="K487" i="3"/>
  <c r="K488" i="3"/>
  <c r="K489" i="3"/>
  <c r="K490" i="3"/>
  <c r="K491" i="3"/>
  <c r="K492" i="3"/>
  <c r="K493" i="3"/>
  <c r="K494" i="3"/>
  <c r="K495" i="3"/>
  <c r="K496" i="3"/>
  <c r="K497" i="3"/>
  <c r="K498" i="3"/>
  <c r="K499" i="3"/>
  <c r="K500" i="3"/>
  <c r="K501" i="3"/>
  <c r="K502" i="3"/>
  <c r="K503" i="3"/>
  <c r="K504" i="3"/>
  <c r="K505" i="3"/>
  <c r="K506" i="3"/>
  <c r="K507" i="3"/>
  <c r="K508" i="3"/>
  <c r="K509" i="3"/>
  <c r="K510" i="3"/>
  <c r="K511" i="3"/>
  <c r="K512" i="3"/>
  <c r="K513" i="3"/>
  <c r="K514" i="3"/>
  <c r="K515" i="3"/>
  <c r="K516" i="3"/>
  <c r="K517" i="3"/>
  <c r="K518" i="3"/>
  <c r="K519" i="3"/>
  <c r="K520" i="3"/>
  <c r="K521" i="3"/>
  <c r="K522" i="3"/>
  <c r="K523" i="3"/>
  <c r="K524" i="3"/>
  <c r="K525" i="3"/>
  <c r="K526" i="3"/>
  <c r="K527" i="3"/>
  <c r="K528" i="3"/>
  <c r="K529" i="3"/>
  <c r="K530" i="3"/>
  <c r="K531" i="3"/>
  <c r="K532" i="3"/>
  <c r="K533" i="3"/>
  <c r="K534" i="3"/>
  <c r="K535" i="3"/>
  <c r="K536" i="3"/>
  <c r="K537" i="3"/>
  <c r="K538" i="3"/>
  <c r="K539" i="3"/>
  <c r="K540" i="3"/>
  <c r="K541" i="3"/>
  <c r="K542" i="3"/>
  <c r="K543" i="3"/>
  <c r="K544" i="3"/>
  <c r="K545" i="3"/>
  <c r="K546" i="3"/>
  <c r="K547" i="3"/>
  <c r="K548" i="3"/>
  <c r="K549" i="3"/>
  <c r="K550" i="3"/>
  <c r="K551" i="3"/>
  <c r="K552" i="3"/>
  <c r="K553" i="3"/>
  <c r="K554" i="3"/>
  <c r="K555" i="3"/>
  <c r="K556" i="3"/>
  <c r="K557" i="3"/>
  <c r="K558" i="3"/>
  <c r="K559" i="3"/>
  <c r="K560" i="3"/>
  <c r="K561" i="3"/>
  <c r="K562" i="3"/>
  <c r="K563" i="3"/>
  <c r="K564" i="3"/>
  <c r="K565" i="3"/>
  <c r="K566" i="3"/>
  <c r="K567" i="3"/>
  <c r="K568" i="3"/>
  <c r="K569" i="3"/>
  <c r="K570" i="3"/>
  <c r="K571" i="3"/>
  <c r="K572" i="3"/>
  <c r="K573" i="3"/>
  <c r="K574" i="3"/>
  <c r="K575" i="3"/>
  <c r="K576" i="3"/>
  <c r="K577" i="3"/>
  <c r="K578" i="3"/>
  <c r="K579" i="3"/>
  <c r="K580" i="3"/>
  <c r="K581" i="3"/>
  <c r="K582" i="3"/>
  <c r="K583" i="3"/>
  <c r="K584" i="3"/>
  <c r="K585" i="3"/>
  <c r="K586" i="3"/>
  <c r="K587" i="3"/>
  <c r="K588" i="3"/>
  <c r="K589" i="3"/>
  <c r="K590" i="3"/>
  <c r="K591" i="3"/>
  <c r="K592" i="3"/>
  <c r="K593" i="3"/>
  <c r="K594" i="3"/>
  <c r="K595" i="3"/>
  <c r="K596" i="3"/>
  <c r="K597" i="3"/>
  <c r="K598" i="3"/>
  <c r="K599" i="3"/>
  <c r="K600" i="3"/>
  <c r="K601" i="3"/>
  <c r="K602" i="3"/>
  <c r="K603" i="3"/>
  <c r="K604" i="3"/>
  <c r="K605" i="3"/>
  <c r="K606" i="3"/>
  <c r="K607" i="3"/>
  <c r="K608" i="3"/>
  <c r="K609" i="3"/>
  <c r="K610" i="3"/>
  <c r="K355" i="3"/>
  <c r="J616" i="3" l="1"/>
  <c r="I616" i="3"/>
  <c r="E27" i="8" l="1"/>
  <c r="E11" i="9"/>
  <c r="E14" i="9"/>
  <c r="F16" i="10"/>
  <c r="F24" i="10"/>
  <c r="F17" i="10"/>
  <c r="G23" i="7"/>
  <c r="G21" i="7"/>
  <c r="C21" i="7"/>
  <c r="F16" i="7"/>
  <c r="H16" i="7"/>
  <c r="H15" i="7"/>
  <c r="F15" i="7"/>
  <c r="G15" i="7"/>
  <c r="G16" i="7"/>
  <c r="I23" i="7"/>
  <c r="D23" i="7"/>
  <c r="D24" i="7" s="1"/>
  <c r="D33" i="7" l="1"/>
  <c r="D27" i="7"/>
  <c r="J618" i="3"/>
  <c r="E29" i="8" s="1"/>
  <c r="J617" i="3"/>
  <c r="E28" i="8" s="1"/>
  <c r="I617" i="3"/>
  <c r="I618" i="3"/>
  <c r="H618" i="3"/>
  <c r="H617" i="3"/>
  <c r="H616" i="3"/>
  <c r="H615" i="3"/>
  <c r="H614" i="3"/>
  <c r="H613" i="3"/>
  <c r="H612" i="3"/>
  <c r="H611" i="3"/>
  <c r="E15" i="9" l="1"/>
  <c r="E16" i="9"/>
  <c r="E27" i="9" l="1"/>
  <c r="E32" i="8"/>
  <c r="D28" i="7"/>
  <c r="D34" i="7"/>
  <c r="G17" i="10" l="1"/>
  <c r="G23" i="10"/>
  <c r="D12" i="10"/>
  <c r="D35" i="7"/>
  <c r="D36" i="7" s="1"/>
  <c r="D29" i="7"/>
  <c r="C16" i="13"/>
  <c r="C27" i="13"/>
  <c r="D11" i="10" l="1"/>
  <c r="D13" i="10" s="1"/>
  <c r="D14" i="10" s="1"/>
  <c r="D23" i="10" s="1"/>
  <c r="C15" i="13"/>
  <c r="C17" i="13" s="1"/>
  <c r="C18" i="13" s="1"/>
  <c r="F29" i="13" s="1"/>
  <c r="D27" i="9" l="1"/>
  <c r="D32" i="8"/>
  <c r="D30" i="7"/>
  <c r="D17" i="10" l="1"/>
  <c r="C24" i="13"/>
  <c r="C30" i="13" s="1"/>
  <c r="C33" i="13" s="1"/>
  <c r="H11" i="13" l="1"/>
  <c r="F24" i="13"/>
</calcChain>
</file>

<file path=xl/sharedStrings.xml><?xml version="1.0" encoding="utf-8"?>
<sst xmlns="http://schemas.openxmlformats.org/spreadsheetml/2006/main" count="2511" uniqueCount="340">
  <si>
    <r>
      <rPr>
        <b/>
        <i/>
        <sz val="8"/>
        <color theme="2" tint="-0.249977111117893"/>
        <rFont val="Calibri"/>
        <family val="2"/>
        <scheme val="minor"/>
      </rPr>
      <t>Image Source:</t>
    </r>
    <r>
      <rPr>
        <i/>
        <sz val="8"/>
        <color theme="2" tint="-0.249977111117893"/>
        <rFont val="Calibri"/>
        <family val="2"/>
        <scheme val="minor"/>
      </rPr>
      <t xml:space="preserve">
Neil Howard
Solent Buoys - Flood Tide</t>
    </r>
    <r>
      <rPr>
        <sz val="8"/>
        <color theme="2" tint="-0.249977111117893"/>
        <rFont val="Calibri"/>
        <family val="2"/>
        <scheme val="minor"/>
      </rPr>
      <t xml:space="preserve">
Copyright: © GrahamAndDairne 2013</t>
    </r>
  </si>
  <si>
    <t>Background</t>
  </si>
  <si>
    <t xml:space="preserve">There have been a series of court cases in recent years relating to how new plans or projects interact with the Habitats Regulations process where there are existing high levels of background nutrients. These decisions have led Natural England to review its advice on water quality effects on Habitats sites.  </t>
  </si>
  <si>
    <t xml:space="preserve">The additional nutrient load from the increase in wastewater and/or the change in the land use of the development land created by a new residential development can create an impact pathway for potential negative effects on Habitats sites that are already suffering from problems related to nutrient loading. This impact pathway is shown diagrammatically in Figure 1.  </t>
  </si>
  <si>
    <t xml:space="preserve">Habitats Regulations Assessments (HRAs) of new residential developments need to consider whether nutrient loading will result in ‘Likely Significant Effects’ (LSE) on a Habitats site.  If an HRA finds LSE due to nutrient loading,  the Appropriate Assessment will need to consider whether this nutrient load needs to be mitigated in order to remove adverse effects on the Habitats site.  </t>
  </si>
  <si>
    <t xml:space="preserve">The first step in an HRA involving nutrient neutrality is understanding both whether a residential development will need mitigation to achieve nutrient neutrality and, if so, the amount of nutrients that require mitigating on an annual basis.  In order to understand the amount of nutrients a new residential development will create, a nutrient budget for the development is required.  </t>
  </si>
  <si>
    <r>
      <t>This tool provides a step-by-step approach to calculating the nutrient budget for a new residential development.  Before a nutrient budget can be completed using the methodology, certain site-specific details for the Habitats Site in question need to be determined.  The required details for each stage of the nutrient budget methodology are shown in the instructions tab, with an associated guidance document that informs users of this calculator how to generate certain inputs to the calculator.</t>
    </r>
    <r>
      <rPr>
        <sz val="12"/>
        <color rgb="FF000000"/>
        <rFont val="Arial"/>
        <family val="2"/>
      </rPr>
      <t xml:space="preserve"> </t>
    </r>
  </si>
  <si>
    <t>Solent Marine European Sites</t>
  </si>
  <si>
    <t xml:space="preserve">The Solent Marine Habitats sites comprise a range of Special Areas of Conservation, Special Protection Areas and Ramsar sites with water pollution and eutrophication considered a threat to its condition.  </t>
  </si>
  <si>
    <t>The Solent is a complex site encompassing a major estuarine system on the south coast of England. The Solent and its inlets are unique in Britain and Europe for their hydrographic regime with double tides, as well as for the complexity of the marine and estuarine habitats present within the area.</t>
  </si>
  <si>
    <t xml:space="preserve">The river’s vegetation is exceptionally species rich, with many of the typical chalk stream plants present in abundance, including species such as river water-crowfoot and stream water-crowfoot. </t>
  </si>
  <si>
    <t>The rich intertidal mudflats, saltmarsh, shingle beaches and adjacent coastal habitats, including grazing marsh, reedbeds and damp woodland, support nationally and internationally important numbers of migratory and over-wintering waders and waterfowl such as ringed plover and sandwich terns, as well as important breeding gull and tern populations.</t>
  </si>
  <si>
    <t xml:space="preserve">Increased levels of nitrogen and phosphorous entering aquatic environments via surface water and groundwater can severely threaten these sensitive habitats and species within the sites. The elevated levels of nutrients can cause eutrophication, leading to algal blooms which disrupt normal ecosystem function and cause major changes in the aquatic community. These algal blooms can result in reduced levels of oxygen within the water, which in turn can lead to the death of many aquatic organisms including invertebrates and fish. </t>
  </si>
  <si>
    <t>The species and habitats within the Solent Marine sites that result in their designations are referred to a ‘qualifying features.’ Not all of these qualifying features will be sensitive to changes in nutrients within the site. When completing an HRA involving nutrient neutrality, the Competent Authority (normally Local Planning Authority for developments) must identify and screen out qualifying features that are not sensitive to nutrients via a Habitats Regulations Assessment.  Developers will be asked to submit information to support this process.</t>
  </si>
  <si>
    <t xml:space="preserve">More detailed information on the qualifying features of the SPA and details of water quality data highlighting the current nutrient problems in the site are available in the Natural England Solent and Southampton Water SPA evidence summary </t>
  </si>
  <si>
    <t>Instructions</t>
  </si>
  <si>
    <t>The nutrient budget for a site is calculated in four stages, with each stage implemented in the following worksheets.</t>
  </si>
  <si>
    <t>1. General tips:</t>
  </si>
  <si>
    <t xml:space="preserve">Key: </t>
  </si>
  <si>
    <t>Values to be entered by the user</t>
  </si>
  <si>
    <t>Fixed or calculated values</t>
  </si>
  <si>
    <t>Lookup tables</t>
  </si>
  <si>
    <t>When a cell is selected, instructions are shown on how to fill out the cell:</t>
  </si>
  <si>
    <r>
      <t>It is advisable to retain a blank copy of this workbook and "Save as" a new copy each time you calculate a budget, in case of any mistakes in data inputs or to ease calculation of new nutrient budgets .</t>
    </r>
    <r>
      <rPr>
        <b/>
        <sz val="11"/>
        <color rgb="FF000000"/>
        <rFont val="Arial"/>
        <family val="2"/>
      </rPr>
      <t xml:space="preserve"> </t>
    </r>
  </si>
  <si>
    <t xml:space="preserve">Note: </t>
  </si>
  <si>
    <t xml:space="preserve">The values already included in this tool have been chosen based on research to determine suitable inputs to the nutrient budget that meet the HRA tests of beyond reasonable scientific doubt, in perpetuity (practically speaking this is 80-125 years) and in accordance with the precautionary principle. If editing any values in this tool, you must make sure there is a sufficient evidence base to justify these changes and that the new inputs are selected in accordance with the precautionary principle.  </t>
  </si>
  <si>
    <t>2. Stage specific instructions:</t>
  </si>
  <si>
    <t>2.1 Stage 1: calculate the new nutrient load associated with the additional wastewater:</t>
  </si>
  <si>
    <t xml:space="preserve">In this section the user will need to enter: </t>
  </si>
  <si>
    <t>The date of first occupancy. This is because some wastewater treatment works (WwTW) may be due an upgrade in 2025 which will change the nutrient concentration permit values. This will be shown through two values for the permits and nutrients load from before and after the upgrade.</t>
  </si>
  <si>
    <t>The average occupancy rate of the development will need to be entered. The default setting is the national occupancy rate of 2.4 people per dwelling/unit. Only change this value if there is sufficient evidence that the development will be different to the national average.</t>
  </si>
  <si>
    <t>The number of dwellings/units that will be in the development at the time of completion.</t>
  </si>
  <si>
    <t>2.2 Stage 2 - calculate the annual nutrient load from existing (pre development) land use on the development site:</t>
  </si>
  <si>
    <t>In this section some environmental information about the development will need to be entered as well as the type(s) and area(s) of landcover on the development site. Only landcovers for the land that is being altered by the development should be entered.</t>
  </si>
  <si>
    <t>The drop down list of landcover types contains seven agricultural landcover types and eight different non-agricultural landcover types that may be present in the development. Please find out what landcover types are within the development before completing this tool. If there is a landcover within the development area that is not in the list please select the most similar landcover type.</t>
  </si>
  <si>
    <t>The instructions at the bottom of this page detail how to find the environmental information for the site if it is unknown.</t>
  </si>
  <si>
    <t>2.3 Stage 3 - calculate the annual nutrient load from new (post-development) land use on the development site:</t>
  </si>
  <si>
    <t>In this section the user will need to select the type(s) and area(s) of the landcover present on the new site.</t>
  </si>
  <si>
    <t>The drop down list of landcover types contains eight different landcover types that may be present on the development site. Please find out what landcover types will be within the development site before completing this tool. If there is a landcover within the development site that is not in the list please select the most similar landcover type.</t>
  </si>
  <si>
    <t>The guidance document that accompanies this calculator breaks down what is included in each landcover type.</t>
  </si>
  <si>
    <t>2.4 Stage 4 - calculate the net change in nutrient loading for the site and the final annual nutrient budget for the development site:</t>
  </si>
  <si>
    <t>This final stage automatically calculates the results from Stage 1-3 using the equation below.</t>
  </si>
  <si>
    <t>The value(s) shown are how much nutrient mitigation is required in kilograms per year to achieve nutrient neutrality.</t>
  </si>
  <si>
    <t>If there are two values due to changing permits, the calculator will show the total amount of nutrient mitigation that is needed before and after the changing permit date.</t>
  </si>
  <si>
    <t>2.5 The equation used to calculate the nutrient budget:</t>
  </si>
  <si>
    <t>3. Site specific data collection instructions:</t>
  </si>
  <si>
    <t>3.1 Instructions for finding the Operational Catchment that the development is situated within:</t>
  </si>
  <si>
    <t xml:space="preserve">a) Go to this link:  </t>
  </si>
  <si>
    <t xml:space="preserve">http://environment.data.gov.uk/catchment-planning/ </t>
  </si>
  <si>
    <t>b) Search the location by place name, postcode etc. This will give a high-level view of the area. Use the zoom feature to find the exact location of the development.</t>
  </si>
  <si>
    <t>c) Click on the light blue area on the map in which the development is located. This will bring the user to the Operational Catchment page</t>
  </si>
  <si>
    <t>d) Make note of the name of the Operational Catchment and select it from the dropdown list in the relevant cell.</t>
  </si>
  <si>
    <t>3.2 Instructions for finding the drainage associated with the predominant soil type within development site:</t>
  </si>
  <si>
    <t xml:space="preserve">a) Go to this link:   </t>
  </si>
  <si>
    <t xml:space="preserve">http://www.landis.org.uk/soilscapes/#.  </t>
  </si>
  <si>
    <t>b) Find the site location on the map by using the search bar on the right side of the map in the 'Search' tab. Searching an area will generate a pop up window in which you can view the soil information by clicking 'View soil information'. If this is not an option then click on the relevant soil type on the map and click on the 'Soil information' tab on the right hand side of the map, below the 'Search' tab.</t>
  </si>
  <si>
    <t>c) The 'Soil drainage type' value can be found In the 'Soil information' under the title 'Drainage:'</t>
  </si>
  <si>
    <t>d) Make a note of this soil type and select the relevant soil drainage type from the drop down list in the relevant cell.</t>
  </si>
  <si>
    <t>3.3 Instructions for finding the annual average rainfall that the development will receive using the National River Flow Archive:</t>
  </si>
  <si>
    <t>https://nrfa.ceh.ac.uk/data/station/spatial/42019</t>
  </si>
  <si>
    <t>b) This link will bring the user to the Tanners Brook at Milbrook flow gauge catchment information page.</t>
  </si>
  <si>
    <t>c) Click on the dropdown list next to the title 'Select spatial data type to view:' on the left of the map and select 'Rainfall'. Next select the Legend tab.</t>
  </si>
  <si>
    <t>d) Zoom in on the map to find the location of the development and find the corresponding rainfall range from the Legend.</t>
  </si>
  <si>
    <t xml:space="preserve">e) Select the rainfall band from the drop down list in the table.  If your rainfall band is not in the drop down list, please select the closest band shown in the list.                               </t>
  </si>
  <si>
    <t>3.4 Instructions for finding out whether the development is in a Nitrate Vulnerable Zone (NVZ):</t>
  </si>
  <si>
    <t>a) Go to this link:</t>
  </si>
  <si>
    <t>http://mapapps2.bgs.ac.uk/ukso/home.html?layers=NVZEng</t>
  </si>
  <si>
    <t>b) Enter the location of the development site in the search bar.</t>
  </si>
  <si>
    <t>c) Once the area has been located, click on the map where the development is located to find out if is within an NVZ.</t>
  </si>
  <si>
    <t xml:space="preserve">d) Make note of this and select this in the dropdown list. </t>
  </si>
  <si>
    <t>Development site details</t>
  </si>
  <si>
    <r>
      <t xml:space="preserve">Date </t>
    </r>
    <r>
      <rPr>
        <sz val="11"/>
        <rFont val="Calibri"/>
        <family val="2"/>
        <scheme val="minor"/>
      </rPr>
      <t>(dd/mm/yyyy)</t>
    </r>
    <r>
      <rPr>
        <b/>
        <sz val="11"/>
        <rFont val="Calibri"/>
        <family val="2"/>
        <scheme val="minor"/>
      </rPr>
      <t>:</t>
    </r>
  </si>
  <si>
    <t>Site Name:</t>
  </si>
  <si>
    <t>Planning Application number:</t>
  </si>
  <si>
    <t>Site Address:</t>
  </si>
  <si>
    <t>Stage 1</t>
  </si>
  <si>
    <t>User Inputs</t>
  </si>
  <si>
    <t>Date of first occupancy:</t>
  </si>
  <si>
    <t>Average occupancy rate:</t>
  </si>
  <si>
    <r>
      <t xml:space="preserve">Water usage </t>
    </r>
    <r>
      <rPr>
        <sz val="11"/>
        <rFont val="Arial"/>
        <family val="2"/>
      </rPr>
      <t>(litres/person/day)</t>
    </r>
    <r>
      <rPr>
        <b/>
        <sz val="11"/>
        <rFont val="Arial"/>
        <family val="2"/>
      </rPr>
      <t>:</t>
    </r>
  </si>
  <si>
    <r>
      <t xml:space="preserve">Development Proposal </t>
    </r>
    <r>
      <rPr>
        <sz val="11"/>
        <rFont val="Arial"/>
        <family val="2"/>
      </rPr>
      <t>(dwellings/units)</t>
    </r>
    <r>
      <rPr>
        <b/>
        <sz val="11"/>
        <rFont val="Arial"/>
        <family val="2"/>
      </rPr>
      <t>:</t>
    </r>
  </si>
  <si>
    <t>Wastewater treatment works:</t>
  </si>
  <si>
    <t>Ludgershall WwTW</t>
  </si>
  <si>
    <r>
      <t xml:space="preserve">Wastewater treatment works P permit </t>
    </r>
    <r>
      <rPr>
        <sz val="11"/>
        <rFont val="Arial"/>
        <family val="2"/>
      </rPr>
      <t>(mg TP/litre)</t>
    </r>
    <r>
      <rPr>
        <b/>
        <sz val="11"/>
        <rFont val="Arial"/>
        <family val="2"/>
      </rPr>
      <t>:</t>
    </r>
  </si>
  <si>
    <r>
      <t xml:space="preserve">Wastewater treatment works N permit </t>
    </r>
    <r>
      <rPr>
        <sz val="11"/>
        <rFont val="Arial"/>
        <family val="2"/>
      </rPr>
      <t>(mg TN/litre)</t>
    </r>
    <r>
      <rPr>
        <b/>
        <sz val="11"/>
        <rFont val="Arial"/>
        <family val="2"/>
      </rPr>
      <t>:</t>
    </r>
  </si>
  <si>
    <t>Stage 1 Calculated Loading</t>
  </si>
  <si>
    <t>AND($C$9&lt;DATE(2025,1,1),OR((VLOOKUP($C$13,Lookups!$A$9:$E$14,2,FALSE))&gt;(VLOOKUP($C$13,Lookups!$A$9:$E$14,4,FALSE)),(VLOOKUP($C$13,Lookups!$A$9:$E$14,3,FALSE))&gt;(VLOOKUP($C$13,Lookups!$A$9:$E$14,5,FALSE))))</t>
  </si>
  <si>
    <t>Additional population</t>
  </si>
  <si>
    <t>people</t>
  </si>
  <si>
    <t>Wastewater by development</t>
  </si>
  <si>
    <t>litres/day</t>
  </si>
  <si>
    <t>TP discharge from WwTW</t>
  </si>
  <si>
    <t>mg TP/day</t>
  </si>
  <si>
    <t>Convert to kg/TP/d</t>
  </si>
  <si>
    <t>kg TP/day</t>
  </si>
  <si>
    <t>Convert to kg/TP/yr</t>
  </si>
  <si>
    <t>kg TP/yr</t>
  </si>
  <si>
    <t>Annual wastewater TP load</t>
  </si>
  <si>
    <t>TN discharge from WwTW</t>
  </si>
  <si>
    <t>mg TN/day</t>
  </si>
  <si>
    <t>Convert to kg/TN/d</t>
  </si>
  <si>
    <t>kg TN/day</t>
  </si>
  <si>
    <t>Convert to kg/TN/yr</t>
  </si>
  <si>
    <t>kg TN/yr</t>
  </si>
  <si>
    <t>Annual wastewater TN load</t>
  </si>
  <si>
    <t>Stage 2</t>
  </si>
  <si>
    <t>Catchment:</t>
  </si>
  <si>
    <t>Isle of Wight Rivers</t>
  </si>
  <si>
    <t>Soil drainage type:</t>
  </si>
  <si>
    <t>Freely draining</t>
  </si>
  <si>
    <r>
      <t xml:space="preserve">Annual average rainfall </t>
    </r>
    <r>
      <rPr>
        <sz val="11"/>
        <rFont val="Arial"/>
        <family val="2"/>
      </rPr>
      <t>(mm)</t>
    </r>
    <r>
      <rPr>
        <b/>
        <sz val="11"/>
        <rFont val="Arial"/>
        <family val="2"/>
      </rPr>
      <t>:</t>
    </r>
  </si>
  <si>
    <t>900.1 - 950</t>
  </si>
  <si>
    <t>Within Nitrate Vulnerable Zone (NVZ):</t>
  </si>
  <si>
    <t>No</t>
  </si>
  <si>
    <t>Existing land use type(s)</t>
  </si>
  <si>
    <r>
      <t xml:space="preserve">Area </t>
    </r>
    <r>
      <rPr>
        <sz val="11"/>
        <color theme="1"/>
        <rFont val="Arial"/>
        <family val="2"/>
      </rPr>
      <t>(ha)</t>
    </r>
  </si>
  <si>
    <r>
      <t xml:space="preserve">Annual nitrogen nutrient export 
</t>
    </r>
    <r>
      <rPr>
        <sz val="11"/>
        <color theme="1"/>
        <rFont val="Arial"/>
        <family val="2"/>
      </rPr>
      <t>(kg TN)</t>
    </r>
  </si>
  <si>
    <t>Cereals</t>
  </si>
  <si>
    <t>Total:</t>
  </si>
  <si>
    <t>Stage 3</t>
  </si>
  <si>
    <t>New land use type(s)</t>
  </si>
  <si>
    <r>
      <t xml:space="preserve">Annual nitrogen nutrient export
</t>
    </r>
    <r>
      <rPr>
        <sz val="11"/>
        <color theme="1"/>
        <rFont val="Arial"/>
        <family val="2"/>
      </rPr>
      <t>(kg TN)</t>
    </r>
  </si>
  <si>
    <t>Woodland</t>
  </si>
  <si>
    <t>Stage 4</t>
  </si>
  <si>
    <t>Calculated Outputs</t>
  </si>
  <si>
    <t>N loading to WwTW:</t>
  </si>
  <si>
    <t>Net land use N change:</t>
  </si>
  <si>
    <t>N budget:</t>
  </si>
  <si>
    <t>N budget + 20% buffer:</t>
  </si>
  <si>
    <t>The total annual phosphorus load to mitigate is:</t>
  </si>
  <si>
    <t>The total annual nitrogen load to mitigate is:</t>
  </si>
  <si>
    <t>P loading to WwTW:</t>
  </si>
  <si>
    <t>Your final phosphorus budget is:</t>
  </si>
  <si>
    <t>Net land use P change:</t>
  </si>
  <si>
    <t>have pop up message if negative that says soemthing like "No P to mitigate</t>
  </si>
  <si>
    <t>P budget:</t>
  </si>
  <si>
    <t>P budget + 20% buffer:</t>
  </si>
  <si>
    <t xml:space="preserve">If positive have message similar to the right </t>
  </si>
  <si>
    <t>The total amount of nitrogen to mitigate is:</t>
  </si>
  <si>
    <t>Look Up Tables</t>
  </si>
  <si>
    <t>Table 1: Stage 1 WwTW lookup</t>
  </si>
  <si>
    <t>Discharge Site Name</t>
  </si>
  <si>
    <t>Nitrogen, Total as N (mg/l)</t>
  </si>
  <si>
    <t>Nitrogen, Total as N (mg/l), permit post 2025</t>
  </si>
  <si>
    <t>Ashlett Creek WwTW</t>
  </si>
  <si>
    <t>Bank WwTW</t>
  </si>
  <si>
    <t>Barn Close Ashmansworth WwTW</t>
  </si>
  <si>
    <t>Barton Stacey WwTW</t>
  </si>
  <si>
    <t>Beaulieu Hummicks WwTW</t>
  </si>
  <si>
    <t>Beaulieu Village WwTW</t>
  </si>
  <si>
    <t>Bishops Waltham WwTW</t>
  </si>
  <si>
    <t>Blackwater S.T.W.</t>
  </si>
  <si>
    <t>Boldre WwTW</t>
  </si>
  <si>
    <t>Bosham WwTW</t>
  </si>
  <si>
    <t>Brockenhurst WwTW</t>
  </si>
  <si>
    <t>Budds Farm WwTW</t>
  </si>
  <si>
    <t>Calbourne WwTW</t>
  </si>
  <si>
    <t>Canterton Lane Brook WwTW</t>
  </si>
  <si>
    <t>Chale WwTW</t>
  </si>
  <si>
    <t>Chichester WwTW</t>
  </si>
  <si>
    <t>Chickenhall Eastleigh WwTW</t>
  </si>
  <si>
    <t>Chilbolton WwTW</t>
  </si>
  <si>
    <t>Chillerton WwTW</t>
  </si>
  <si>
    <t>Droxford WwTW</t>
  </si>
  <si>
    <t>Dunbridge WwTW</t>
  </si>
  <si>
    <t>East Boldre S.T.W.</t>
  </si>
  <si>
    <t>East End S.T.W.</t>
  </si>
  <si>
    <t>East Grimstead WwTW</t>
  </si>
  <si>
    <t>East Meon WwTW</t>
  </si>
  <si>
    <t>Efford Farm Cottages Lymington WwTW</t>
  </si>
  <si>
    <t>Evans Close Over Wallop WwTW</t>
  </si>
  <si>
    <t>Flexford Lane Sway WwTW</t>
  </si>
  <si>
    <t>Fullerton Wastewater Treatment Works</t>
  </si>
  <si>
    <t>Graemar Cottages S. English WwTW</t>
  </si>
  <si>
    <t>Gratton Close Sutton Scotney WwTW</t>
  </si>
  <si>
    <t>Hannington WwTW</t>
  </si>
  <si>
    <t>Harestock Wastewater Treatment Works</t>
  </si>
  <si>
    <t>Highwood Lane Rookley WwTW</t>
  </si>
  <si>
    <t>Hillside Cottages West Stoke WwTW</t>
  </si>
  <si>
    <t>Ivy Down Lane WwTW</t>
  </si>
  <si>
    <t>Kings Somborne WwTW</t>
  </si>
  <si>
    <t>Lye Lane West Stoke WwTW</t>
  </si>
  <si>
    <t>Lyndhurst Wastewater Treatment Works</t>
  </si>
  <si>
    <t>Millbrook WwTW</t>
  </si>
  <si>
    <t>Minstead WwTW</t>
  </si>
  <si>
    <t>Morestead WwTW</t>
  </si>
  <si>
    <t>New Alresford WwTW</t>
  </si>
  <si>
    <t>Newlands Merstone WwTW</t>
  </si>
  <si>
    <t>Newtown S.T.W.</t>
  </si>
  <si>
    <t>North View Thorley WwTW</t>
  </si>
  <si>
    <t>North Waltham WwTW</t>
  </si>
  <si>
    <t>Overton Wastewater Treatment Works</t>
  </si>
  <si>
    <t>Passford House Sway WwTW</t>
  </si>
  <si>
    <t>Peel Common WwTW</t>
  </si>
  <si>
    <t>Pennington WwTW</t>
  </si>
  <si>
    <t>Portswood WwTW</t>
  </si>
  <si>
    <t>Redlynch S.T.W.</t>
  </si>
  <si>
    <t>Romsey WwTW</t>
  </si>
  <si>
    <t>Saddlers Close Sutton Scotney WwTW</t>
  </si>
  <si>
    <t>Shalfleet WwTW</t>
  </si>
  <si>
    <t>Slowhill Copse WwTW</t>
  </si>
  <si>
    <t>Southwick WwTW</t>
  </si>
  <si>
    <t>St Helens WwTW</t>
  </si>
  <si>
    <t>Stockbridge WwTW</t>
  </si>
  <si>
    <t>Thornham WwTW</t>
  </si>
  <si>
    <t>Thorns Beach WwTW</t>
  </si>
  <si>
    <t>West Marden WwTW</t>
  </si>
  <si>
    <t>West Wellow WwTW</t>
  </si>
  <si>
    <t>Whitchurch WwTW</t>
  </si>
  <si>
    <t>Whitehouse Farm Development WwTW</t>
  </si>
  <si>
    <t>Whiteparish WwTW</t>
  </si>
  <si>
    <t>Wickham WwTW</t>
  </si>
  <si>
    <t>Woolston WwTW</t>
  </si>
  <si>
    <t>Package Treatment Plant default</t>
  </si>
  <si>
    <t>Septic Tank default</t>
  </si>
  <si>
    <t>Package Treatment Plant user defined</t>
  </si>
  <si>
    <t>Septic Tank user defined</t>
  </si>
  <si>
    <t>Table 2: Stage 2 and 3 Landcover lookup</t>
  </si>
  <si>
    <t>Catchment</t>
  </si>
  <si>
    <t>Farmscoper Farm Term</t>
  </si>
  <si>
    <t>NVZ</t>
  </si>
  <si>
    <t>Climate</t>
  </si>
  <si>
    <t>Farmscoper Soil Drainage Term</t>
  </si>
  <si>
    <t>Lookup</t>
  </si>
  <si>
    <t>Phosphorus export coefficient</t>
  </si>
  <si>
    <t>Nitrogen export coefficient</t>
  </si>
  <si>
    <t>Farm Lookup</t>
  </si>
  <si>
    <t>Mean P export of farm type and climate combination</t>
  </si>
  <si>
    <t>Mean N export of farm type and climate combination</t>
  </si>
  <si>
    <t>Mean P export of farm type</t>
  </si>
  <si>
    <t>Mean N export of farm type</t>
  </si>
  <si>
    <t>East Hampshire Rivers</t>
  </si>
  <si>
    <t>700to900</t>
  </si>
  <si>
    <t>FreeDrain</t>
  </si>
  <si>
    <t>DrainedAr</t>
  </si>
  <si>
    <t>DrainedArGr</t>
  </si>
  <si>
    <t>900to1200</t>
  </si>
  <si>
    <t>General</t>
  </si>
  <si>
    <t>Horticulture</t>
  </si>
  <si>
    <t>Pig</t>
  </si>
  <si>
    <t>Poultry</t>
  </si>
  <si>
    <t>Dairy</t>
  </si>
  <si>
    <t>Lowland</t>
  </si>
  <si>
    <t>Mixed</t>
  </si>
  <si>
    <t>Over1500</t>
  </si>
  <si>
    <t>Lower Test and Southampton Streams</t>
  </si>
  <si>
    <t>New Forest - Bartley Water</t>
  </si>
  <si>
    <t>New Forest - Hatchet Sowley</t>
  </si>
  <si>
    <t>New Forest - Lymington and Beaulieu</t>
  </si>
  <si>
    <t>Upper and Middle Test</t>
  </si>
  <si>
    <t>Itchen</t>
  </si>
  <si>
    <t>Western Streams</t>
  </si>
  <si>
    <t>600to700</t>
  </si>
  <si>
    <t>Arun and Western Streams</t>
  </si>
  <si>
    <t>East Hampshire</t>
  </si>
  <si>
    <t>Isle of Wight</t>
  </si>
  <si>
    <t>New Forest</t>
  </si>
  <si>
    <t>Test and Itchen</t>
  </si>
  <si>
    <t>-</t>
  </si>
  <si>
    <t>Greenspace</t>
  </si>
  <si>
    <t>Community food growing</t>
  </si>
  <si>
    <t>Shrub</t>
  </si>
  <si>
    <t>Water</t>
  </si>
  <si>
    <t>Residential urban land</t>
  </si>
  <si>
    <r>
      <t>Commercial/</t>
    </r>
    <r>
      <rPr>
        <i/>
        <sz val="11"/>
        <color theme="1"/>
        <rFont val="Arial"/>
        <family val="2"/>
      </rPr>
      <t>i</t>
    </r>
    <r>
      <rPr>
        <sz val="11"/>
        <color theme="1"/>
        <rFont val="Arial"/>
        <family val="2"/>
      </rPr>
      <t>ndustrial urban land</t>
    </r>
  </si>
  <si>
    <t>Open urban land</t>
  </si>
  <si>
    <t>Table 3: Stage 2 and 3 Rainfall / Urban Lookup</t>
  </si>
  <si>
    <t>Rainfall band</t>
  </si>
  <si>
    <t>Mid</t>
  </si>
  <si>
    <t>Farmscoper Equivalent</t>
  </si>
  <si>
    <t xml:space="preserve">P Urban Runoff Coefficient </t>
  </si>
  <si>
    <t>N Urban Runoff Coefficient (kg/ha/yr)</t>
  </si>
  <si>
    <t>Residential P export coefficient (kg/ha/yr)</t>
  </si>
  <si>
    <t>Commercial / industrial P export coefficient (kg/ha/yr)</t>
  </si>
  <si>
    <t>Open urban P export coefficient (kg/ha/yr)</t>
  </si>
  <si>
    <t>Residential N export coefficient (kg/ha/yr)</t>
  </si>
  <si>
    <t>Commercial / industrial N export coefficient (kg/ha/yr)</t>
  </si>
  <si>
    <t>Open urban N export coefficient (kg/ha/yr)</t>
  </si>
  <si>
    <t>508 - 525</t>
  </si>
  <si>
    <t>Under600</t>
  </si>
  <si>
    <t>525.1 - 550</t>
  </si>
  <si>
    <t>550.1 - 575</t>
  </si>
  <si>
    <t>575.1 - 600</t>
  </si>
  <si>
    <t>600.1 - 625</t>
  </si>
  <si>
    <t>625.1 - 650</t>
  </si>
  <si>
    <t>650.1 - 675</t>
  </si>
  <si>
    <t>675.1 - 700</t>
  </si>
  <si>
    <t>700.1 - 750</t>
  </si>
  <si>
    <t>750.1 - 800</t>
  </si>
  <si>
    <t>800.1 - 850</t>
  </si>
  <si>
    <t>850.1 - 900</t>
  </si>
  <si>
    <t>950.1 - 1,000</t>
  </si>
  <si>
    <t>1,000.1 - 1,100</t>
  </si>
  <si>
    <t>1,100.1 - 1,200</t>
  </si>
  <si>
    <t>1,200.1 - 1,400</t>
  </si>
  <si>
    <t>1200to1500</t>
  </si>
  <si>
    <t>1,400.1 - 1,600</t>
  </si>
  <si>
    <t>1,600.1 - 2,000</t>
  </si>
  <si>
    <t>2,000.1 - 2,400</t>
  </si>
  <si>
    <t>2,400.1 - 3,000</t>
  </si>
  <si>
    <t>3,000.1 - 4,000</t>
  </si>
  <si>
    <t>4,000.1 - 5,500</t>
  </si>
  <si>
    <t>Table 4: Stage 2 and 3 Catchment Lookup</t>
  </si>
  <si>
    <t>Table 7: Stage 2 and 3 Landcovers</t>
  </si>
  <si>
    <t>Table 8: Stage 2 and 3 Landcover lookup</t>
  </si>
  <si>
    <t>Operational Catchment</t>
  </si>
  <si>
    <t>Farmscoper equivalent</t>
  </si>
  <si>
    <t>Management Catchment</t>
  </si>
  <si>
    <t>All Possible Landcover Types</t>
  </si>
  <si>
    <t>Solent Specific Landcover Types</t>
  </si>
  <si>
    <t>LFA</t>
  </si>
  <si>
    <t>Table 5: Stage 2 and 3 Soil Drainage Lookup</t>
  </si>
  <si>
    <t>Soilscape drainage term</t>
  </si>
  <si>
    <t>Farmscoper term</t>
  </si>
  <si>
    <t>Definition</t>
  </si>
  <si>
    <t>Free Draining</t>
  </si>
  <si>
    <t>Commercial/industrial urban land</t>
  </si>
  <si>
    <t>Slightly impeded drainage</t>
  </si>
  <si>
    <t>Drained for arable</t>
  </si>
  <si>
    <t>Impeded drainage</t>
  </si>
  <si>
    <t>Drained for arable and grassland</t>
  </si>
  <si>
    <t>Variable</t>
  </si>
  <si>
    <t>Surface Wetness</t>
  </si>
  <si>
    <t>Naturally wet</t>
  </si>
  <si>
    <t>Table 6: Stage 2 and 3 NVZ Lookup</t>
  </si>
  <si>
    <t>Yes</t>
  </si>
  <si>
    <t>The receiving WwTW that the development will drain to. If it is uncertain what WwTW the site will drain to, please find this information from your sewerage company before completing the calculator. If it is not feasable to connect to a WwTW and a septic tank or package treatment plant is being used, please select this option. Please be aware that if the total nitrogen (TN) final effluent concentrations (in mg/l) are specified by the manufacturer, please select 'Septic Tank user defined' or 'Package Treatment Plant user defined' and enter the manufacturer specified value in the cell where prompted.</t>
  </si>
  <si>
    <t>Whether the catchment of the proposed development has a deductible acceptable loading or not.</t>
  </si>
  <si>
    <t>Nitrogen Total as N (mg/l), permit post 2025 with deductible acceptable loading</t>
  </si>
  <si>
    <t>Nitrogen Total as N (mg/l) with deductible acceptable loading</t>
  </si>
  <si>
    <t>Include deductible acceptable loading?</t>
  </si>
  <si>
    <t>Wroxall WwTW</t>
  </si>
  <si>
    <t>Willow Wood St Lawrence WwTW</t>
  </si>
  <si>
    <t>Sandown WwTW</t>
  </si>
  <si>
    <t>Roud WwTW</t>
  </si>
  <si>
    <t>Lavant WwTW</t>
  </si>
  <si>
    <t>Knighton WwTW</t>
  </si>
  <si>
    <t>Hazely Combe WwTW</t>
  </si>
  <si>
    <t>Godshill</t>
  </si>
  <si>
    <t>Arreton WwTW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</si>
</sst>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name val="Calibri"/>
      <family val="2"/>
      <scheme val="minor"/>
    </font>
    <font>
      <u/>
      <sz val="11"/>
      <color theme="10"/>
      <name val="Calibri"/>
      <family val="2"/>
      <scheme val="minor"/>
    </font>
    <font>
      <sz val="11"/>
      <color theme="1"/>
      <name val="Gill Sans MT"/>
      <family val="2"/>
    </font>
    <font>
      <b/>
      <sz val="11"/>
      <color theme="0"/>
      <name val="Gill Sans MT"/>
      <family val="2"/>
    </font>
    <font>
      <b/>
      <sz val="11"/>
      <color theme="1"/>
      <name val="Gill Sans MT"/>
      <family val="2"/>
    </font>
    <font>
      <b/>
      <sz val="11"/>
      <color theme="1"/>
      <name val="Calibri"/>
      <family val="2"/>
      <scheme val="minor"/>
    </font>
    <font>
      <sz val="11"/>
      <name val="Gill Sans MT"/>
      <family val="2"/>
    </font>
    <font>
      <b/>
      <sz val="11"/>
      <color theme="1"/>
      <name val="Arial"/>
      <family val="2"/>
    </font>
    <font>
      <b/>
      <sz val="11"/>
      <name val="Arial"/>
      <family val="2"/>
    </font>
    <font>
      <sz val="11"/>
      <name val="Arial"/>
      <family val="2"/>
    </font>
    <font>
      <sz val="11"/>
      <color theme="1"/>
      <name val="Arial"/>
      <family val="2"/>
    </font>
    <font>
      <sz val="11"/>
      <color rgb="FF000000"/>
      <name val="Arial"/>
      <family val="2"/>
    </font>
    <font>
      <i/>
      <sz val="11"/>
      <color theme="1"/>
      <name val="Arial"/>
      <family val="2"/>
    </font>
    <font>
      <sz val="11"/>
      <color theme="1" tint="4.9989318521683403E-2"/>
      <name val="Arial"/>
      <family val="2"/>
    </font>
    <font>
      <b/>
      <sz val="11"/>
      <name val="Calibri"/>
      <family val="2"/>
      <scheme val="minor"/>
    </font>
    <font>
      <b/>
      <sz val="12"/>
      <color theme="1"/>
      <name val="Arial"/>
      <family val="2"/>
    </font>
    <font>
      <sz val="11"/>
      <color rgb="FF242424"/>
      <name val="Segoe UI"/>
      <family val="2"/>
    </font>
    <font>
      <sz val="11"/>
      <color theme="1" tint="0.14999847407452621"/>
      <name val="Calibri"/>
      <family val="2"/>
      <scheme val="minor"/>
    </font>
    <font>
      <sz val="11"/>
      <color theme="0"/>
      <name val="Calibri"/>
      <family val="2"/>
      <scheme val="minor"/>
    </font>
    <font>
      <b/>
      <sz val="14"/>
      <color theme="1"/>
      <name val="Arial"/>
      <family val="2"/>
    </font>
    <font>
      <b/>
      <sz val="11"/>
      <color theme="1"/>
      <name val="Century Gothic"/>
      <family val="2"/>
    </font>
    <font>
      <sz val="11"/>
      <color theme="1" tint="0.14999847407452621"/>
      <name val="Arial"/>
      <family val="2"/>
    </font>
    <font>
      <b/>
      <sz val="11"/>
      <color theme="1" tint="0.14999847407452621"/>
      <name val="Arial"/>
      <family val="2"/>
    </font>
    <font>
      <sz val="12"/>
      <color theme="1"/>
      <name val="Century Gothic"/>
      <family val="2"/>
    </font>
    <font>
      <sz val="8"/>
      <color theme="2" tint="-0.249977111117893"/>
      <name val="Calibri"/>
      <family val="2"/>
      <scheme val="minor"/>
    </font>
    <font>
      <b/>
      <i/>
      <sz val="8"/>
      <color theme="2" tint="-0.249977111117893"/>
      <name val="Calibri"/>
      <family val="2"/>
      <scheme val="minor"/>
    </font>
    <font>
      <i/>
      <sz val="8"/>
      <color theme="2" tint="-0.249977111117893"/>
      <name val="Calibri"/>
      <family val="2"/>
      <scheme val="minor"/>
    </font>
    <font>
      <sz val="8"/>
      <name val="Calibri"/>
      <family val="2"/>
      <scheme val="minor"/>
    </font>
    <font>
      <b/>
      <u/>
      <sz val="14"/>
      <color rgb="FF000000"/>
      <name val="Arial"/>
      <family val="2"/>
    </font>
    <font>
      <b/>
      <sz val="11"/>
      <color rgb="FF000000"/>
      <name val="Arial"/>
      <family val="2"/>
    </font>
    <font>
      <u/>
      <sz val="11"/>
      <color theme="10"/>
      <name val="Arial"/>
      <family val="2"/>
    </font>
    <font>
      <b/>
      <sz val="18"/>
      <color theme="0"/>
      <name val="Century Gothic"/>
      <family val="2"/>
    </font>
    <font>
      <sz val="12"/>
      <color rgb="FF000000"/>
      <name val="Arial"/>
      <family val="2"/>
    </font>
    <font>
      <b/>
      <sz val="14"/>
      <color theme="1"/>
      <name val="Century Gothic"/>
      <family val="2"/>
    </font>
    <font>
      <b/>
      <sz val="24"/>
      <color theme="0"/>
      <name val="Century Gothic"/>
      <family val="2"/>
    </font>
    <font>
      <sz val="24"/>
      <color theme="0"/>
      <name val="Century Gothic"/>
      <family val="2"/>
    </font>
    <font>
      <sz val="11"/>
      <color theme="6" tint="0.79998168889431442"/>
      <name val="Calibri"/>
      <family val="2"/>
      <scheme val="minor"/>
    </font>
    <font>
      <sz val="11"/>
      <color theme="6" tint="0.79998168889431442"/>
      <name val="Gill Sans MT"/>
      <family val="2"/>
    </font>
    <font>
      <b/>
      <sz val="24"/>
      <color theme="0"/>
      <name val="Arial"/>
      <family val="2"/>
    </font>
    <font>
      <u/>
      <sz val="11"/>
      <color theme="10"/>
      <name val="Segoe UI"/>
      <family val="2"/>
    </font>
    <font>
      <sz val="11"/>
      <color theme="0"/>
      <name val="Arial"/>
      <family val="2"/>
    </font>
  </fonts>
  <fills count="7">
    <fill>
      <patternFill patternType="none"/>
    </fill>
    <fill>
      <patternFill patternType="gray125"/>
    </fill>
    <fill>
      <patternFill patternType="solid">
        <fgColor theme="0"/>
        <bgColor indexed="64"/>
      </patternFill>
    </fill>
    <fill>
      <patternFill patternType="solid">
        <fgColor rgb="FF9DD3BE"/>
        <bgColor indexed="64"/>
      </patternFill>
    </fill>
    <fill>
      <patternFill patternType="solid">
        <fgColor rgb="FFF7E8BE"/>
        <bgColor indexed="64"/>
      </patternFill>
    </fill>
    <fill>
      <patternFill patternType="solid">
        <fgColor theme="6" tint="0.79998168889431442"/>
        <bgColor indexed="64"/>
      </patternFill>
    </fill>
    <fill>
      <patternFill patternType="solid">
        <fgColor rgb="FF449669"/>
        <bgColor indexed="64"/>
      </patternFill>
    </fill>
  </fills>
  <borders count="23">
    <border>
      <left/>
      <right/>
      <top/>
      <bottom/>
      <diagonal/>
    </border>
    <border>
      <left/>
      <right/>
      <top/>
      <bottom style="thick">
        <color rgb="FF449669"/>
      </bottom>
      <diagonal/>
    </border>
    <border>
      <left/>
      <right style="thick">
        <color rgb="FF449669"/>
      </right>
      <top/>
      <bottom/>
      <diagonal/>
    </border>
    <border>
      <left/>
      <right style="thick">
        <color rgb="FF449669"/>
      </right>
      <top/>
      <bottom style="thick">
        <color rgb="FF449669"/>
      </bottom>
      <diagonal/>
    </border>
    <border>
      <left/>
      <right/>
      <top style="thick">
        <color rgb="FF449669"/>
      </top>
      <bottom style="thick">
        <color rgb="FF449669"/>
      </bottom>
      <diagonal/>
    </border>
    <border>
      <left style="thick">
        <color rgb="FF449669"/>
      </left>
      <right style="thick">
        <color rgb="FF449669"/>
      </right>
      <top/>
      <bottom/>
      <diagonal/>
    </border>
    <border>
      <left style="thick">
        <color rgb="FF449669"/>
      </left>
      <right style="thick">
        <color rgb="FF449669"/>
      </right>
      <top/>
      <bottom style="thick">
        <color rgb="FF449669"/>
      </bottom>
      <diagonal/>
    </border>
    <border>
      <left/>
      <right/>
      <top style="thick">
        <color rgb="FF449669"/>
      </top>
      <bottom/>
      <diagonal/>
    </border>
    <border>
      <left style="thick">
        <color rgb="FF449669"/>
      </left>
      <right/>
      <top style="thick">
        <color rgb="FF449669"/>
      </top>
      <bottom/>
      <diagonal/>
    </border>
    <border>
      <left/>
      <right style="thick">
        <color rgb="FF449669"/>
      </right>
      <top style="thick">
        <color rgb="FF449669"/>
      </top>
      <bottom/>
      <diagonal/>
    </border>
    <border>
      <left style="thick">
        <color rgb="FF449669"/>
      </left>
      <right/>
      <top/>
      <bottom/>
      <diagonal/>
    </border>
    <border>
      <left style="thick">
        <color rgb="FF449669"/>
      </left>
      <right/>
      <top/>
      <bottom style="thick">
        <color rgb="FF449669"/>
      </bottom>
      <diagonal/>
    </border>
    <border>
      <left/>
      <right/>
      <top/>
      <bottom style="medium">
        <color rgb="FF449669"/>
      </bottom>
      <diagonal/>
    </border>
    <border>
      <left/>
      <right/>
      <top style="medium">
        <color rgb="FF449669"/>
      </top>
      <bottom/>
      <diagonal/>
    </border>
    <border>
      <left/>
      <right/>
      <top style="medium">
        <color rgb="FF449669"/>
      </top>
      <bottom style="medium">
        <color rgb="FF449669"/>
      </bottom>
      <diagonal/>
    </border>
    <border>
      <left/>
      <right style="medium">
        <color rgb="FF449669"/>
      </right>
      <top/>
      <bottom/>
      <diagonal/>
    </border>
    <border>
      <left style="medium">
        <color rgb="FF449669"/>
      </left>
      <right style="medium">
        <color rgb="FF449669"/>
      </right>
      <top/>
      <bottom/>
      <diagonal/>
    </border>
    <border>
      <left/>
      <right style="medium">
        <color rgb="FF449669"/>
      </right>
      <top/>
      <bottom style="medium">
        <color rgb="FF449669"/>
      </bottom>
      <diagonal/>
    </border>
    <border>
      <left style="medium">
        <color rgb="FF449669"/>
      </left>
      <right style="medium">
        <color rgb="FF449669"/>
      </right>
      <top/>
      <bottom style="medium">
        <color rgb="FF449669"/>
      </bottom>
      <diagonal/>
    </border>
    <border>
      <left/>
      <right style="medium">
        <color rgb="FF449669"/>
      </right>
      <top style="medium">
        <color rgb="FF449669"/>
      </top>
      <bottom/>
      <diagonal/>
    </border>
    <border>
      <left style="medium">
        <color rgb="FF449669"/>
      </left>
      <right style="medium">
        <color rgb="FF449669"/>
      </right>
      <top style="medium">
        <color rgb="FF449669"/>
      </top>
      <bottom/>
      <diagonal/>
    </border>
    <border>
      <left style="thick">
        <color rgb="FF449669"/>
      </left>
      <right style="thick">
        <color rgb="FF449669"/>
      </right>
      <top style="thick">
        <color rgb="FF449669"/>
      </top>
      <bottom/>
      <diagonal/>
    </border>
    <border>
      <left style="medium">
        <color rgb="FF449669"/>
      </left>
      <right/>
      <top style="medium">
        <color rgb="FF449669"/>
      </top>
      <bottom/>
      <diagonal/>
    </border>
  </borders>
  <cellStyleXfs count="2">
    <xf numFmtId="0" fontId="0" fillId="0" borderId="0"/>
    <xf numFmtId="0" fontId="2" fillId="0" borderId="0" applyNumberFormat="0" applyFill="0" applyBorder="0" applyAlignment="0" applyProtection="0"/>
  </cellStyleXfs>
  <cellXfs count="286">
    <xf numFmtId="0" fontId="0" fillId="0" borderId="0" xfId="0"/>
    <xf numFmtId="0" fontId="0" fillId="2" borderId="0" xfId="0" applyFill="1"/>
    <xf numFmtId="0" fontId="1" fillId="2" borderId="0" xfId="0" applyFont="1" applyFill="1"/>
    <xf numFmtId="0" fontId="3" fillId="2" borderId="0" xfId="0" applyFont="1" applyFill="1" applyAlignment="1">
      <alignment horizontal="left"/>
    </xf>
    <xf numFmtId="0" fontId="4" fillId="2" borderId="0" xfId="0" applyFont="1" applyFill="1" applyAlignment="1">
      <alignment horizontal="left"/>
    </xf>
    <xf numFmtId="0" fontId="5" fillId="2" borderId="0" xfId="0" applyFont="1" applyFill="1" applyAlignment="1">
      <alignment horizontal="left"/>
    </xf>
    <xf numFmtId="14" fontId="3" fillId="2" borderId="0" xfId="0" applyNumberFormat="1" applyFont="1" applyFill="1" applyAlignment="1">
      <alignment vertical="center" wrapText="1"/>
    </xf>
    <xf numFmtId="0" fontId="3" fillId="2" borderId="0" xfId="0" applyFont="1" applyFill="1" applyAlignment="1">
      <alignment vertical="center"/>
    </xf>
    <xf numFmtId="0" fontId="3" fillId="2" borderId="0" xfId="0" applyFont="1" applyFill="1" applyAlignment="1">
      <alignment vertical="center" wrapText="1"/>
    </xf>
    <xf numFmtId="0" fontId="3" fillId="2" borderId="0" xfId="0" applyFont="1" applyFill="1" applyAlignment="1">
      <alignment horizontal="left" vertical="center"/>
    </xf>
    <xf numFmtId="0" fontId="5" fillId="2" borderId="0" xfId="0" applyFont="1" applyFill="1" applyAlignment="1">
      <alignment horizontal="left" vertical="center"/>
    </xf>
    <xf numFmtId="0" fontId="3" fillId="2" borderId="0" xfId="0" applyFont="1" applyFill="1" applyAlignment="1">
      <alignment horizontal="center" vertical="center"/>
    </xf>
    <xf numFmtId="2" fontId="3" fillId="2" borderId="0" xfId="0" applyNumberFormat="1" applyFont="1" applyFill="1" applyAlignment="1">
      <alignment horizontal="center" vertical="center"/>
    </xf>
    <xf numFmtId="2" fontId="5" fillId="2" borderId="0" xfId="0" applyNumberFormat="1" applyFont="1" applyFill="1" applyAlignment="1">
      <alignment horizontal="center" vertical="center"/>
    </xf>
    <xf numFmtId="0" fontId="8" fillId="2" borderId="1" xfId="0" applyFont="1" applyFill="1" applyBorder="1"/>
    <xf numFmtId="0" fontId="9" fillId="2" borderId="0" xfId="0" applyFont="1" applyFill="1" applyAlignment="1">
      <alignment horizontal="left" vertical="center" wrapText="1"/>
    </xf>
    <xf numFmtId="0" fontId="9" fillId="2" borderId="4" xfId="0" applyFont="1" applyFill="1" applyBorder="1" applyAlignment="1">
      <alignment horizontal="left" vertical="center" wrapText="1"/>
    </xf>
    <xf numFmtId="0" fontId="9" fillId="2" borderId="7" xfId="0" applyFont="1" applyFill="1" applyBorder="1" applyAlignment="1">
      <alignment horizontal="left" vertical="center" wrapText="1"/>
    </xf>
    <xf numFmtId="2" fontId="11" fillId="2" borderId="0" xfId="0" applyNumberFormat="1" applyFont="1" applyFill="1" applyAlignment="1">
      <alignment horizontal="center" vertical="center"/>
    </xf>
    <xf numFmtId="0" fontId="8" fillId="2" borderId="0" xfId="0" applyFont="1" applyFill="1" applyAlignment="1">
      <alignment horizontal="left" vertical="center"/>
    </xf>
    <xf numFmtId="2" fontId="8" fillId="2" borderId="0" xfId="0" applyNumberFormat="1" applyFont="1" applyFill="1" applyAlignment="1">
      <alignment horizontal="center" vertical="center"/>
    </xf>
    <xf numFmtId="0" fontId="11" fillId="2" borderId="0" xfId="0" applyFont="1" applyFill="1"/>
    <xf numFmtId="2" fontId="11" fillId="4" borderId="1" xfId="0" applyNumberFormat="1" applyFont="1" applyFill="1" applyBorder="1" applyAlignment="1">
      <alignment horizontal="left" vertical="center" wrapText="1"/>
    </xf>
    <xf numFmtId="14" fontId="11" fillId="2" borderId="0" xfId="0" applyNumberFormat="1" applyFont="1" applyFill="1" applyAlignment="1">
      <alignment vertical="center" wrapText="1"/>
    </xf>
    <xf numFmtId="0" fontId="11" fillId="2" borderId="0" xfId="0" applyFont="1" applyFill="1" applyAlignment="1">
      <alignment vertical="center"/>
    </xf>
    <xf numFmtId="0" fontId="11" fillId="2" borderId="0" xfId="0" applyFont="1" applyFill="1" applyAlignment="1">
      <alignment vertical="center" wrapText="1"/>
    </xf>
    <xf numFmtId="0" fontId="11" fillId="2" borderId="0" xfId="0" applyFont="1" applyFill="1" applyAlignment="1">
      <alignment horizontal="left" vertical="center"/>
    </xf>
    <xf numFmtId="2" fontId="11" fillId="2" borderId="0" xfId="0" applyNumberFormat="1" applyFont="1" applyFill="1" applyAlignment="1">
      <alignment horizontal="left" vertical="center"/>
    </xf>
    <xf numFmtId="0" fontId="10" fillId="2" borderId="0" xfId="0" applyFont="1" applyFill="1" applyAlignment="1">
      <alignment horizontal="left" vertical="center"/>
    </xf>
    <xf numFmtId="0" fontId="11" fillId="5" borderId="0" xfId="0" applyFont="1" applyFill="1"/>
    <xf numFmtId="0" fontId="9" fillId="5" borderId="6" xfId="0" applyFont="1" applyFill="1" applyBorder="1" applyAlignment="1">
      <alignment horizontal="left" vertical="center"/>
    </xf>
    <xf numFmtId="0" fontId="9" fillId="5" borderId="3" xfId="0" applyFont="1" applyFill="1" applyBorder="1" applyAlignment="1">
      <alignment horizontal="left" vertical="center"/>
    </xf>
    <xf numFmtId="0" fontId="9" fillId="5" borderId="3" xfId="0" applyFont="1" applyFill="1" applyBorder="1" applyAlignment="1">
      <alignment horizontal="left" vertical="center" wrapText="1"/>
    </xf>
    <xf numFmtId="0" fontId="11" fillId="5" borderId="2" xfId="0" applyFont="1" applyFill="1" applyBorder="1" applyAlignment="1">
      <alignment horizontal="left" vertical="center"/>
    </xf>
    <xf numFmtId="2" fontId="11" fillId="5" borderId="0" xfId="0" applyNumberFormat="1" applyFont="1" applyFill="1" applyAlignment="1">
      <alignment horizontal="left" vertical="center"/>
    </xf>
    <xf numFmtId="0" fontId="8" fillId="5" borderId="1" xfId="0" applyFont="1" applyFill="1" applyBorder="1" applyAlignment="1">
      <alignment horizontal="left" vertical="center"/>
    </xf>
    <xf numFmtId="0" fontId="11" fillId="5" borderId="0" xfId="0" applyFont="1" applyFill="1" applyAlignment="1">
      <alignment horizontal="left" vertical="center"/>
    </xf>
    <xf numFmtId="0" fontId="9" fillId="5" borderId="11" xfId="0" applyFont="1" applyFill="1" applyBorder="1" applyAlignment="1">
      <alignment horizontal="left" vertical="center" wrapText="1"/>
    </xf>
    <xf numFmtId="0" fontId="11" fillId="5" borderId="10" xfId="0" applyFont="1" applyFill="1" applyBorder="1" applyAlignment="1">
      <alignment horizontal="left" vertical="center"/>
    </xf>
    <xf numFmtId="0" fontId="9" fillId="5" borderId="11" xfId="0" applyFont="1" applyFill="1" applyBorder="1" applyAlignment="1">
      <alignment horizontal="left" vertical="center"/>
    </xf>
    <xf numFmtId="49" fontId="11" fillId="5" borderId="2" xfId="0" applyNumberFormat="1" applyFont="1" applyFill="1" applyBorder="1" applyAlignment="1">
      <alignment horizontal="left" vertical="center"/>
    </xf>
    <xf numFmtId="0" fontId="11" fillId="5" borderId="5" xfId="0" applyFont="1" applyFill="1" applyBorder="1" applyAlignment="1">
      <alignment horizontal="left" vertical="center"/>
    </xf>
    <xf numFmtId="0" fontId="9" fillId="5" borderId="6" xfId="0" applyFont="1" applyFill="1" applyBorder="1" applyAlignment="1">
      <alignment horizontal="left" vertical="center" wrapText="1"/>
    </xf>
    <xf numFmtId="0" fontId="10" fillId="5" borderId="2" xfId="0" applyFont="1" applyFill="1" applyBorder="1" applyAlignment="1">
      <alignment horizontal="left" vertical="center"/>
    </xf>
    <xf numFmtId="2" fontId="11" fillId="5" borderId="2" xfId="0" applyNumberFormat="1" applyFont="1" applyFill="1" applyBorder="1" applyAlignment="1">
      <alignment horizontal="left" vertical="center"/>
    </xf>
    <xf numFmtId="0" fontId="10" fillId="5" borderId="5" xfId="0" applyFont="1" applyFill="1" applyBorder="1" applyAlignment="1">
      <alignment horizontal="left" vertical="center"/>
    </xf>
    <xf numFmtId="2" fontId="10" fillId="4" borderId="1" xfId="0" applyNumberFormat="1" applyFont="1" applyFill="1" applyBorder="1" applyAlignment="1">
      <alignment horizontal="left" vertical="center"/>
    </xf>
    <xf numFmtId="2" fontId="11" fillId="4" borderId="4" xfId="0" applyNumberFormat="1" applyFont="1" applyFill="1" applyBorder="1" applyAlignment="1">
      <alignment horizontal="left" vertical="center"/>
    </xf>
    <xf numFmtId="2" fontId="11" fillId="4" borderId="7" xfId="0" applyNumberFormat="1" applyFont="1" applyFill="1" applyBorder="1" applyAlignment="1">
      <alignment horizontal="left" vertical="center" wrapText="1"/>
    </xf>
    <xf numFmtId="2" fontId="8" fillId="2" borderId="0" xfId="0" applyNumberFormat="1" applyFont="1" applyFill="1" applyAlignment="1">
      <alignment vertical="center"/>
    </xf>
    <xf numFmtId="0" fontId="15" fillId="2" borderId="0" xfId="0" applyFont="1" applyFill="1" applyAlignment="1">
      <alignment horizontal="left" vertical="center" wrapText="1"/>
    </xf>
    <xf numFmtId="0" fontId="11" fillId="4" borderId="0" xfId="0" applyFont="1" applyFill="1" applyAlignment="1">
      <alignment horizontal="center" vertical="center"/>
    </xf>
    <xf numFmtId="0" fontId="11" fillId="2" borderId="12" xfId="0" applyFont="1" applyFill="1" applyBorder="1" applyAlignment="1">
      <alignment horizontal="left" vertical="center"/>
    </xf>
    <xf numFmtId="0" fontId="11" fillId="4" borderId="12" xfId="0" applyFont="1" applyFill="1" applyBorder="1" applyAlignment="1">
      <alignment horizontal="center" vertical="center"/>
    </xf>
    <xf numFmtId="0" fontId="11" fillId="2" borderId="13" xfId="0" applyFont="1" applyFill="1" applyBorder="1" applyAlignment="1">
      <alignment horizontal="left" vertical="center"/>
    </xf>
    <xf numFmtId="0" fontId="8" fillId="2" borderId="13" xfId="0" applyFont="1" applyFill="1" applyBorder="1" applyAlignment="1">
      <alignment horizontal="left" vertical="center"/>
    </xf>
    <xf numFmtId="2" fontId="11" fillId="4" borderId="13" xfId="0" applyNumberFormat="1" applyFont="1" applyFill="1" applyBorder="1" applyAlignment="1">
      <alignment horizontal="center" vertical="center"/>
    </xf>
    <xf numFmtId="2" fontId="8" fillId="4" borderId="13" xfId="0" applyNumberFormat="1" applyFont="1" applyFill="1" applyBorder="1" applyAlignment="1">
      <alignment horizontal="center" vertical="center"/>
    </xf>
    <xf numFmtId="0" fontId="11" fillId="2" borderId="14" xfId="0" applyFont="1" applyFill="1" applyBorder="1" applyAlignment="1">
      <alignment horizontal="left" vertical="center"/>
    </xf>
    <xf numFmtId="0" fontId="11" fillId="4" borderId="14" xfId="0" applyFont="1" applyFill="1" applyBorder="1" applyAlignment="1">
      <alignment horizontal="center" vertical="center"/>
    </xf>
    <xf numFmtId="2" fontId="11" fillId="4" borderId="14" xfId="0" applyNumberFormat="1" applyFont="1" applyFill="1" applyBorder="1" applyAlignment="1">
      <alignment horizontal="center" vertical="center"/>
    </xf>
    <xf numFmtId="0" fontId="9" fillId="2" borderId="13"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8" fillId="2" borderId="12" xfId="0" applyFont="1" applyFill="1" applyBorder="1"/>
    <xf numFmtId="0" fontId="9" fillId="2" borderId="14"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8" fillId="2" borderId="15" xfId="0" applyFont="1" applyFill="1" applyBorder="1" applyAlignment="1">
      <alignment horizontal="right"/>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9" xfId="0" applyFont="1" applyFill="1" applyBorder="1" applyAlignment="1">
      <alignment horizontal="right"/>
    </xf>
    <xf numFmtId="0" fontId="8" fillId="2" borderId="17" xfId="0" applyFont="1" applyFill="1" applyBorder="1" applyAlignment="1">
      <alignment horizontal="left" vertical="center"/>
    </xf>
    <xf numFmtId="0" fontId="11" fillId="4" borderId="12" xfId="0" applyFont="1" applyFill="1" applyBorder="1" applyAlignment="1">
      <alignment horizontal="center" vertical="center" wrapText="1"/>
    </xf>
    <xf numFmtId="0" fontId="11" fillId="4" borderId="0" xfId="0" applyFont="1" applyFill="1" applyAlignment="1">
      <alignment horizontal="center" vertical="center" wrapText="1"/>
    </xf>
    <xf numFmtId="0" fontId="20" fillId="2" borderId="0" xfId="0" applyFont="1" applyFill="1" applyAlignment="1">
      <alignment vertical="center" wrapText="1"/>
    </xf>
    <xf numFmtId="14" fontId="8" fillId="2" borderId="0" xfId="0" applyNumberFormat="1" applyFont="1" applyFill="1" applyAlignment="1">
      <alignment vertical="center" wrapText="1"/>
    </xf>
    <xf numFmtId="0" fontId="8" fillId="2" borderId="0" xfId="0" applyFont="1" applyFill="1" applyAlignment="1">
      <alignment vertical="center" wrapText="1"/>
    </xf>
    <xf numFmtId="0" fontId="7" fillId="2" borderId="0" xfId="0" applyFont="1" applyFill="1" applyAlignment="1">
      <alignment horizontal="center" vertical="center" wrapText="1"/>
    </xf>
    <xf numFmtId="0" fontId="0" fillId="2" borderId="0" xfId="0" applyFill="1" applyAlignment="1">
      <alignment horizontal="left"/>
    </xf>
    <xf numFmtId="2" fontId="8" fillId="2" borderId="0" xfId="0" applyNumberFormat="1" applyFont="1" applyFill="1" applyAlignment="1">
      <alignment horizontal="left" vertical="center"/>
    </xf>
    <xf numFmtId="2" fontId="11" fillId="4" borderId="12" xfId="0" applyNumberFormat="1" applyFont="1" applyFill="1" applyBorder="1" applyAlignment="1">
      <alignment horizontal="center" vertical="center"/>
    </xf>
    <xf numFmtId="0" fontId="18" fillId="2" borderId="0" xfId="0" applyFont="1" applyFill="1"/>
    <xf numFmtId="0" fontId="18" fillId="2" borderId="0" xfId="0" applyFont="1" applyFill="1" applyAlignment="1">
      <alignment horizontal="left"/>
    </xf>
    <xf numFmtId="0" fontId="22" fillId="2" borderId="0" xfId="0" applyFont="1" applyFill="1" applyAlignment="1">
      <alignment horizontal="left" vertical="center"/>
    </xf>
    <xf numFmtId="2" fontId="22" fillId="2" borderId="0" xfId="0" applyNumberFormat="1" applyFont="1" applyFill="1" applyAlignment="1">
      <alignment horizontal="left" vertical="center"/>
    </xf>
    <xf numFmtId="0" fontId="23" fillId="2" borderId="0" xfId="0" applyFont="1" applyFill="1" applyAlignment="1">
      <alignment horizontal="left" vertical="center"/>
    </xf>
    <xf numFmtId="2" fontId="23" fillId="2" borderId="0" xfId="0" applyNumberFormat="1" applyFont="1" applyFill="1" applyAlignment="1">
      <alignment horizontal="left" vertical="center"/>
    </xf>
    <xf numFmtId="0" fontId="22" fillId="2" borderId="0" xfId="0" applyFont="1" applyFill="1" applyAlignment="1">
      <alignment horizontal="center" vertical="center"/>
    </xf>
    <xf numFmtId="2" fontId="22" fillId="2" borderId="0" xfId="0" applyNumberFormat="1" applyFont="1" applyFill="1" applyAlignment="1">
      <alignment horizontal="center" vertical="center"/>
    </xf>
    <xf numFmtId="2" fontId="23" fillId="2" borderId="0" xfId="0" applyNumberFormat="1" applyFont="1" applyFill="1" applyAlignment="1">
      <alignment horizontal="center" vertical="center"/>
    </xf>
    <xf numFmtId="2" fontId="10" fillId="4" borderId="12" xfId="0" applyNumberFormat="1" applyFont="1" applyFill="1" applyBorder="1" applyAlignment="1">
      <alignment horizontal="center" vertical="center"/>
    </xf>
    <xf numFmtId="2" fontId="11" fillId="4" borderId="0" xfId="0" applyNumberFormat="1" applyFont="1" applyFill="1" applyAlignment="1">
      <alignment horizontal="center" vertical="center" wrapText="1"/>
    </xf>
    <xf numFmtId="2" fontId="11" fillId="4" borderId="14" xfId="0" applyNumberFormat="1" applyFont="1" applyFill="1" applyBorder="1" applyAlignment="1">
      <alignment horizontal="center" vertical="center" wrapText="1"/>
    </xf>
    <xf numFmtId="0" fontId="8" fillId="4" borderId="16" xfId="0" applyFont="1" applyFill="1" applyBorder="1" applyAlignment="1">
      <alignment horizontal="right"/>
    </xf>
    <xf numFmtId="2" fontId="8" fillId="4" borderId="0" xfId="0" applyNumberFormat="1" applyFont="1" applyFill="1" applyAlignment="1">
      <alignment horizontal="right"/>
    </xf>
    <xf numFmtId="0" fontId="25" fillId="2" borderId="0" xfId="0" applyFont="1" applyFill="1" applyAlignment="1">
      <alignment wrapText="1"/>
    </xf>
    <xf numFmtId="2" fontId="14" fillId="3" borderId="14" xfId="0" applyNumberFormat="1" applyFont="1" applyFill="1" applyBorder="1" applyAlignment="1" applyProtection="1">
      <alignment horizontal="left" vertical="center" wrapText="1"/>
      <protection locked="0"/>
    </xf>
    <xf numFmtId="0" fontId="14" fillId="3" borderId="14" xfId="0" applyFont="1" applyFill="1" applyBorder="1" applyAlignment="1" applyProtection="1">
      <alignment horizontal="left" vertical="center"/>
      <protection locked="0"/>
    </xf>
    <xf numFmtId="0" fontId="14" fillId="3" borderId="0" xfId="0" applyFont="1" applyFill="1" applyAlignment="1" applyProtection="1">
      <alignment horizontal="left" vertical="center"/>
      <protection locked="0"/>
    </xf>
    <xf numFmtId="0" fontId="11" fillId="3" borderId="15" xfId="0" applyFont="1" applyFill="1" applyBorder="1" applyAlignment="1" applyProtection="1">
      <alignment horizontal="left"/>
      <protection locked="0"/>
    </xf>
    <xf numFmtId="2" fontId="11" fillId="3" borderId="16" xfId="0" applyNumberFormat="1" applyFont="1" applyFill="1" applyBorder="1" applyAlignment="1" applyProtection="1">
      <alignment horizontal="left"/>
      <protection locked="0"/>
    </xf>
    <xf numFmtId="14" fontId="10" fillId="3" borderId="12" xfId="0" applyNumberFormat="1" applyFont="1" applyFill="1" applyBorder="1" applyAlignment="1" applyProtection="1">
      <alignment horizontal="center" vertical="center"/>
      <protection locked="0"/>
    </xf>
    <xf numFmtId="2" fontId="11" fillId="3" borderId="12" xfId="0" applyNumberFormat="1" applyFont="1" applyFill="1" applyBorder="1" applyAlignment="1" applyProtection="1">
      <alignment horizontal="center" vertical="center" wrapText="1"/>
      <protection locked="0"/>
    </xf>
    <xf numFmtId="0" fontId="11"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14" xfId="0" applyFont="1" applyFill="1" applyBorder="1" applyAlignment="1" applyProtection="1">
      <alignment horizontal="center" vertical="center" wrapText="1"/>
      <protection locked="0"/>
    </xf>
    <xf numFmtId="0" fontId="7" fillId="2" borderId="0" xfId="0" applyFont="1" applyFill="1" applyAlignment="1" applyProtection="1">
      <alignment vertical="center" wrapText="1"/>
      <protection locked="0"/>
    </xf>
    <xf numFmtId="2" fontId="10" fillId="3" borderId="15" xfId="0" applyNumberFormat="1" applyFont="1" applyFill="1" applyBorder="1" applyAlignment="1" applyProtection="1">
      <alignment horizontal="left"/>
      <protection locked="0"/>
    </xf>
    <xf numFmtId="2" fontId="10" fillId="3" borderId="15" xfId="0" applyNumberFormat="1" applyFont="1" applyFill="1" applyBorder="1" applyAlignment="1" applyProtection="1">
      <alignment horizontal="left" vertical="center"/>
      <protection locked="0"/>
    </xf>
    <xf numFmtId="2" fontId="9" fillId="3" borderId="15" xfId="0" applyNumberFormat="1" applyFont="1" applyFill="1" applyBorder="1" applyAlignment="1" applyProtection="1">
      <alignment horizontal="left" vertical="center"/>
      <protection locked="0"/>
    </xf>
    <xf numFmtId="0" fontId="11" fillId="3" borderId="17" xfId="0" applyFont="1" applyFill="1" applyBorder="1" applyAlignment="1" applyProtection="1">
      <alignment horizontal="left"/>
      <protection locked="0"/>
    </xf>
    <xf numFmtId="2" fontId="10" fillId="3" borderId="17" xfId="0" applyNumberFormat="1" applyFont="1" applyFill="1" applyBorder="1" applyAlignment="1" applyProtection="1">
      <alignment horizontal="left"/>
      <protection locked="0"/>
    </xf>
    <xf numFmtId="0" fontId="0" fillId="2" borderId="2" xfId="0" applyFill="1" applyBorder="1"/>
    <xf numFmtId="0" fontId="29" fillId="0" borderId="0" xfId="0" applyFont="1" applyAlignment="1">
      <alignment horizontal="left" vertical="top" indent="2"/>
    </xf>
    <xf numFmtId="0" fontId="11" fillId="2" borderId="11" xfId="0" applyFont="1" applyFill="1" applyBorder="1" applyAlignment="1">
      <alignment horizontal="left" vertical="top" indent="2"/>
    </xf>
    <xf numFmtId="0" fontId="11" fillId="2" borderId="1" xfId="0" applyFont="1" applyFill="1" applyBorder="1" applyAlignment="1">
      <alignment horizontal="left" vertical="top" indent="2"/>
    </xf>
    <xf numFmtId="0" fontId="8" fillId="2" borderId="10" xfId="0" applyFont="1" applyFill="1" applyBorder="1" applyAlignment="1">
      <alignment horizontal="left" vertical="top" indent="2"/>
    </xf>
    <xf numFmtId="0" fontId="29" fillId="0" borderId="0" xfId="0" applyFont="1" applyAlignment="1">
      <alignment horizontal="left" vertical="center" indent="2"/>
    </xf>
    <xf numFmtId="0" fontId="30" fillId="0" borderId="0" xfId="0" applyFont="1" applyAlignment="1">
      <alignment horizontal="left" vertical="top"/>
    </xf>
    <xf numFmtId="2" fontId="11" fillId="5" borderId="5" xfId="0" applyNumberFormat="1" applyFont="1" applyFill="1" applyBorder="1" applyAlignment="1">
      <alignment horizontal="left" vertical="center"/>
    </xf>
    <xf numFmtId="0" fontId="8" fillId="4" borderId="15" xfId="0" applyFont="1" applyFill="1" applyBorder="1" applyAlignment="1">
      <alignment horizontal="right"/>
    </xf>
    <xf numFmtId="0" fontId="9" fillId="5" borderId="1" xfId="0" applyFont="1" applyFill="1" applyBorder="1" applyAlignment="1">
      <alignment horizontal="left" vertical="center" wrapText="1"/>
    </xf>
    <xf numFmtId="0" fontId="0" fillId="2" borderId="10" xfId="0" applyFill="1" applyBorder="1"/>
    <xf numFmtId="0" fontId="11" fillId="2" borderId="10" xfId="0" applyFont="1" applyFill="1" applyBorder="1"/>
    <xf numFmtId="0" fontId="11" fillId="2" borderId="2" xfId="0" applyFont="1" applyFill="1" applyBorder="1"/>
    <xf numFmtId="0" fontId="0" fillId="2" borderId="1" xfId="0" applyFill="1" applyBorder="1"/>
    <xf numFmtId="0" fontId="0" fillId="2" borderId="3" xfId="0" applyFill="1" applyBorder="1"/>
    <xf numFmtId="0" fontId="0" fillId="5" borderId="0" xfId="0" applyFill="1"/>
    <xf numFmtId="0" fontId="0" fillId="5" borderId="2" xfId="0" applyFill="1" applyBorder="1"/>
    <xf numFmtId="0" fontId="11" fillId="5" borderId="7" xfId="0" applyFont="1" applyFill="1" applyBorder="1" applyAlignment="1">
      <alignment horizontal="left" vertical="top" indent="2"/>
    </xf>
    <xf numFmtId="14" fontId="3" fillId="5" borderId="0" xfId="0" applyNumberFormat="1" applyFont="1" applyFill="1" applyAlignment="1">
      <alignment vertical="center" wrapText="1"/>
    </xf>
    <xf numFmtId="0" fontId="1" fillId="5" borderId="0" xfId="0" applyFont="1" applyFill="1"/>
    <xf numFmtId="0" fontId="3" fillId="5" borderId="0" xfId="0" applyFont="1" applyFill="1" applyAlignment="1">
      <alignment vertical="center"/>
    </xf>
    <xf numFmtId="0" fontId="36" fillId="2" borderId="0" xfId="0" applyFont="1" applyFill="1" applyAlignment="1">
      <alignment horizontal="center" vertical="center"/>
    </xf>
    <xf numFmtId="0" fontId="3" fillId="2" borderId="2" xfId="0" applyFont="1" applyFill="1" applyBorder="1" applyAlignment="1">
      <alignment vertical="center"/>
    </xf>
    <xf numFmtId="14" fontId="3" fillId="2" borderId="2" xfId="0" applyNumberFormat="1" applyFont="1" applyFill="1" applyBorder="1" applyAlignment="1">
      <alignment vertical="center" wrapText="1"/>
    </xf>
    <xf numFmtId="0" fontId="3" fillId="2" borderId="2" xfId="0" applyFont="1" applyFill="1" applyBorder="1" applyAlignment="1">
      <alignment vertical="center" wrapText="1"/>
    </xf>
    <xf numFmtId="0" fontId="0" fillId="2" borderId="11" xfId="0" applyFill="1" applyBorder="1"/>
    <xf numFmtId="0" fontId="15" fillId="2" borderId="14" xfId="0" applyFont="1" applyFill="1" applyBorder="1" applyAlignment="1">
      <alignment vertical="center" wrapText="1"/>
    </xf>
    <xf numFmtId="0" fontId="15" fillId="2" borderId="0" xfId="0" applyFont="1" applyFill="1" applyAlignment="1">
      <alignment vertical="center" wrapText="1"/>
    </xf>
    <xf numFmtId="0" fontId="4" fillId="2" borderId="2" xfId="0" applyFont="1" applyFill="1" applyBorder="1" applyAlignment="1">
      <alignment horizontal="left"/>
    </xf>
    <xf numFmtId="0" fontId="3" fillId="2" borderId="2" xfId="0" applyFont="1" applyFill="1" applyBorder="1" applyAlignment="1">
      <alignment horizontal="left" vertical="center"/>
    </xf>
    <xf numFmtId="0" fontId="6" fillId="2" borderId="2" xfId="0" applyFont="1" applyFill="1" applyBorder="1"/>
    <xf numFmtId="0" fontId="17" fillId="0" borderId="2" xfId="0" applyFont="1" applyBorder="1"/>
    <xf numFmtId="0" fontId="18" fillId="2" borderId="2" xfId="0" applyFont="1" applyFill="1" applyBorder="1"/>
    <xf numFmtId="0" fontId="37" fillId="5" borderId="0" xfId="0" applyFont="1" applyFill="1"/>
    <xf numFmtId="14" fontId="38" fillId="5" borderId="0" xfId="0" applyNumberFormat="1" applyFont="1" applyFill="1" applyAlignment="1">
      <alignment vertical="center" wrapText="1"/>
    </xf>
    <xf numFmtId="0" fontId="38" fillId="5" borderId="0" xfId="0" applyFont="1" applyFill="1" applyAlignment="1">
      <alignment vertical="center"/>
    </xf>
    <xf numFmtId="0" fontId="38" fillId="5" borderId="0" xfId="0" applyFont="1" applyFill="1" applyAlignment="1">
      <alignment vertical="center" wrapText="1"/>
    </xf>
    <xf numFmtId="0" fontId="37" fillId="5" borderId="2" xfId="0" applyFont="1" applyFill="1" applyBorder="1"/>
    <xf numFmtId="0" fontId="19" fillId="2" borderId="2" xfId="0" applyFont="1" applyFill="1" applyBorder="1"/>
    <xf numFmtId="0" fontId="19" fillId="5" borderId="0" xfId="0" applyFont="1" applyFill="1"/>
    <xf numFmtId="0" fontId="6" fillId="5" borderId="0" xfId="0" applyFont="1" applyFill="1"/>
    <xf numFmtId="0" fontId="5" fillId="2" borderId="2" xfId="0" applyFont="1" applyFill="1" applyBorder="1" applyAlignment="1">
      <alignment horizontal="left"/>
    </xf>
    <xf numFmtId="0" fontId="3" fillId="2" borderId="2" xfId="0" applyFont="1" applyFill="1" applyBorder="1" applyAlignment="1">
      <alignment horizontal="left"/>
    </xf>
    <xf numFmtId="0" fontId="11" fillId="2" borderId="0" xfId="0" applyFont="1" applyFill="1" applyAlignment="1">
      <alignment horizontal="center"/>
    </xf>
    <xf numFmtId="0" fontId="5" fillId="5" borderId="0" xfId="0" applyFont="1" applyFill="1" applyAlignment="1">
      <alignment horizontal="left"/>
    </xf>
    <xf numFmtId="0" fontId="4" fillId="5" borderId="0" xfId="0" applyFont="1" applyFill="1" applyAlignment="1">
      <alignment horizontal="left"/>
    </xf>
    <xf numFmtId="0" fontId="3" fillId="5" borderId="0" xfId="0" applyFont="1" applyFill="1" applyAlignment="1">
      <alignment horizontal="left"/>
    </xf>
    <xf numFmtId="0" fontId="3" fillId="5" borderId="0" xfId="0" applyFont="1" applyFill="1" applyAlignment="1">
      <alignment horizontal="left" vertical="center"/>
    </xf>
    <xf numFmtId="0" fontId="11" fillId="2" borderId="1" xfId="0" applyFont="1" applyFill="1" applyBorder="1" applyAlignment="1">
      <alignment horizontal="left" vertical="center"/>
    </xf>
    <xf numFmtId="2" fontId="11" fillId="2" borderId="1" xfId="0" applyNumberFormat="1" applyFont="1" applyFill="1" applyBorder="1" applyAlignment="1">
      <alignment horizontal="left" vertical="center"/>
    </xf>
    <xf numFmtId="0" fontId="11" fillId="2" borderId="1" xfId="0" applyFont="1" applyFill="1" applyBorder="1"/>
    <xf numFmtId="2" fontId="11" fillId="4" borderId="0" xfId="0" applyNumberFormat="1" applyFont="1" applyFill="1" applyAlignment="1">
      <alignment horizontal="left"/>
    </xf>
    <xf numFmtId="0" fontId="11" fillId="5" borderId="2" xfId="0" applyFont="1" applyFill="1" applyBorder="1" applyAlignment="1">
      <alignment horizontal="left" vertical="center" wrapText="1"/>
    </xf>
    <xf numFmtId="0" fontId="11" fillId="5" borderId="2" xfId="0" applyFont="1" applyFill="1" applyBorder="1" applyAlignment="1" applyProtection="1">
      <alignment horizontal="left" vertical="center"/>
      <protection hidden="1"/>
    </xf>
    <xf numFmtId="2" fontId="10" fillId="5" borderId="5" xfId="0" applyNumberFormat="1" applyFont="1" applyFill="1" applyBorder="1" applyAlignment="1">
      <alignment horizontal="left" vertical="center"/>
    </xf>
    <xf numFmtId="2" fontId="10" fillId="5" borderId="0" xfId="0" applyNumberFormat="1" applyFont="1" applyFill="1" applyAlignment="1">
      <alignment horizontal="left" vertical="center"/>
    </xf>
    <xf numFmtId="2" fontId="10" fillId="5" borderId="2" xfId="0" applyNumberFormat="1" applyFont="1" applyFill="1" applyBorder="1" applyAlignment="1">
      <alignment horizontal="left" vertical="center"/>
    </xf>
    <xf numFmtId="2" fontId="10" fillId="2" borderId="0" xfId="0" applyNumberFormat="1" applyFont="1" applyFill="1" applyAlignment="1">
      <alignment horizontal="left" vertical="center"/>
    </xf>
    <xf numFmtId="0" fontId="8" fillId="5" borderId="3" xfId="0" applyFont="1" applyFill="1" applyBorder="1" applyAlignment="1">
      <alignment horizontal="left" vertical="center"/>
    </xf>
    <xf numFmtId="0" fontId="10" fillId="5" borderId="2" xfId="0" applyFont="1" applyFill="1" applyBorder="1" applyAlignment="1">
      <alignment wrapText="1"/>
    </xf>
    <xf numFmtId="0" fontId="12" fillId="5" borderId="0" xfId="0" applyFont="1" applyFill="1" applyAlignment="1">
      <alignment horizontal="left" vertical="center"/>
    </xf>
    <xf numFmtId="0" fontId="10" fillId="5" borderId="2" xfId="0" applyFont="1" applyFill="1" applyBorder="1" applyAlignment="1">
      <alignment horizontal="left" vertical="center" wrapText="1"/>
    </xf>
    <xf numFmtId="2" fontId="10" fillId="5" borderId="2" xfId="0" applyNumberFormat="1" applyFont="1" applyFill="1" applyBorder="1" applyAlignment="1">
      <alignment horizontal="left" vertical="center" wrapText="1"/>
    </xf>
    <xf numFmtId="2" fontId="10" fillId="5" borderId="10" xfId="0" applyNumberFormat="1" applyFont="1" applyFill="1" applyBorder="1" applyAlignment="1">
      <alignment horizontal="left" vertical="center" wrapText="1"/>
    </xf>
    <xf numFmtId="2" fontId="10" fillId="5" borderId="5" xfId="0" applyNumberFormat="1" applyFont="1" applyFill="1" applyBorder="1" applyAlignment="1">
      <alignment horizontal="left" vertical="center" wrapText="1"/>
    </xf>
    <xf numFmtId="2" fontId="10" fillId="5" borderId="0" xfId="0" applyNumberFormat="1" applyFont="1" applyFill="1" applyAlignment="1">
      <alignment horizontal="left" vertical="center" wrapText="1"/>
    </xf>
    <xf numFmtId="2" fontId="10" fillId="5" borderId="21" xfId="0" applyNumberFormat="1" applyFont="1" applyFill="1" applyBorder="1" applyAlignment="1">
      <alignment horizontal="left" vertical="center" wrapText="1"/>
    </xf>
    <xf numFmtId="0" fontId="11" fillId="5" borderId="2" xfId="0" applyFont="1" applyFill="1" applyBorder="1"/>
    <xf numFmtId="0" fontId="12" fillId="5" borderId="5" xfId="0" applyFont="1" applyFill="1" applyBorder="1" applyAlignment="1">
      <alignment horizontal="left" vertical="center"/>
    </xf>
    <xf numFmtId="2" fontId="12" fillId="5" borderId="5" xfId="0" applyNumberFormat="1" applyFont="1" applyFill="1" applyBorder="1" applyAlignment="1">
      <alignment horizontal="left" vertical="center"/>
    </xf>
    <xf numFmtId="0" fontId="10" fillId="5" borderId="9" xfId="0" applyFont="1" applyFill="1" applyBorder="1"/>
    <xf numFmtId="0" fontId="11" fillId="5" borderId="10" xfId="0" applyFont="1" applyFill="1" applyBorder="1"/>
    <xf numFmtId="0" fontId="11" fillId="2" borderId="11" xfId="0" applyFont="1" applyFill="1" applyBorder="1"/>
    <xf numFmtId="0" fontId="11" fillId="2" borderId="3" xfId="0" applyFont="1" applyFill="1" applyBorder="1"/>
    <xf numFmtId="2" fontId="11" fillId="4" borderId="12" xfId="0" applyNumberFormat="1" applyFont="1" applyFill="1" applyBorder="1" applyAlignment="1">
      <alignment horizontal="left"/>
    </xf>
    <xf numFmtId="0" fontId="10" fillId="5" borderId="8" xfId="0" applyFont="1" applyFill="1" applyBorder="1"/>
    <xf numFmtId="0" fontId="11" fillId="5" borderId="5" xfId="0" applyFont="1" applyFill="1" applyBorder="1" applyAlignment="1">
      <alignment horizontal="left"/>
    </xf>
    <xf numFmtId="0" fontId="10" fillId="5" borderId="5" xfId="0" applyFont="1" applyFill="1" applyBorder="1" applyAlignment="1">
      <alignment horizontal="left" wrapText="1"/>
    </xf>
    <xf numFmtId="0" fontId="11" fillId="5" borderId="0" xfId="0" applyFont="1" applyFill="1" applyAlignment="1">
      <alignment horizontal="left"/>
    </xf>
    <xf numFmtId="0" fontId="0" fillId="5" borderId="15" xfId="0" applyFill="1" applyBorder="1"/>
    <xf numFmtId="0" fontId="11" fillId="2" borderId="10" xfId="0" applyFont="1" applyFill="1" applyBorder="1" applyAlignment="1">
      <alignment horizontal="left" vertical="top" wrapText="1" indent="2"/>
    </xf>
    <xf numFmtId="0" fontId="11" fillId="2" borderId="10" xfId="0" applyFont="1" applyFill="1" applyBorder="1" applyAlignment="1">
      <alignment horizontal="left" vertical="top" indent="2"/>
    </xf>
    <xf numFmtId="0" fontId="0" fillId="2" borderId="8" xfId="0" applyFill="1" applyBorder="1" applyAlignment="1">
      <alignment horizontal="left" vertical="top" indent="2"/>
    </xf>
    <xf numFmtId="0" fontId="0" fillId="2" borderId="7" xfId="0" applyFill="1" applyBorder="1" applyAlignment="1">
      <alignment horizontal="left" vertical="top" indent="2"/>
    </xf>
    <xf numFmtId="0" fontId="0" fillId="2" borderId="9" xfId="0" applyFill="1" applyBorder="1"/>
    <xf numFmtId="0" fontId="0" fillId="2" borderId="10" xfId="0" applyFill="1" applyBorder="1" applyAlignment="1">
      <alignment horizontal="left" vertical="top" indent="2"/>
    </xf>
    <xf numFmtId="0" fontId="0" fillId="2" borderId="0" xfId="0" applyFill="1" applyAlignment="1">
      <alignment horizontal="left" vertical="top" indent="2"/>
    </xf>
    <xf numFmtId="0" fontId="0" fillId="3" borderId="0" xfId="0" applyFill="1" applyAlignment="1">
      <alignment horizontal="left" vertical="top" indent="2"/>
    </xf>
    <xf numFmtId="0" fontId="11" fillId="2" borderId="0" xfId="0" applyFont="1" applyFill="1" applyAlignment="1">
      <alignment horizontal="left" vertical="top"/>
    </xf>
    <xf numFmtId="0" fontId="0" fillId="4" borderId="0" xfId="0" applyFill="1" applyAlignment="1">
      <alignment horizontal="left" vertical="top" indent="2"/>
    </xf>
    <xf numFmtId="0" fontId="0" fillId="5" borderId="0" xfId="0" applyFill="1" applyAlignment="1">
      <alignment horizontal="left" vertical="top" indent="2"/>
    </xf>
    <xf numFmtId="0" fontId="40" fillId="5" borderId="0" xfId="1" applyFont="1" applyFill="1" applyBorder="1"/>
    <xf numFmtId="0" fontId="40" fillId="5" borderId="0" xfId="1" quotePrefix="1" applyFont="1" applyFill="1" applyBorder="1"/>
    <xf numFmtId="0" fontId="11" fillId="2" borderId="0" xfId="0" applyFont="1" applyFill="1" applyAlignment="1">
      <alignment horizontal="left" vertical="top" indent="2"/>
    </xf>
    <xf numFmtId="0" fontId="11" fillId="2" borderId="0" xfId="0" applyFont="1" applyFill="1" applyAlignment="1">
      <alignment horizontal="left" vertical="top" wrapText="1" indent="2"/>
    </xf>
    <xf numFmtId="0" fontId="11" fillId="5" borderId="0" xfId="0" applyFont="1" applyFill="1" applyAlignment="1">
      <alignment horizontal="left" vertical="top" indent="2"/>
    </xf>
    <xf numFmtId="0" fontId="0" fillId="5" borderId="7" xfId="0" applyFill="1" applyBorder="1"/>
    <xf numFmtId="14" fontId="14" fillId="3" borderId="12" xfId="0" applyNumberFormat="1" applyFont="1" applyFill="1" applyBorder="1" applyAlignment="1" applyProtection="1">
      <alignment horizontal="left" vertical="center" wrapText="1"/>
      <protection locked="0"/>
    </xf>
    <xf numFmtId="0" fontId="0" fillId="6" borderId="0" xfId="0" applyFill="1"/>
    <xf numFmtId="0" fontId="37" fillId="2" borderId="0" xfId="0" applyFont="1" applyFill="1"/>
    <xf numFmtId="0" fontId="11" fillId="5" borderId="5" xfId="0" applyFont="1" applyFill="1" applyBorder="1"/>
    <xf numFmtId="2" fontId="8" fillId="4" borderId="22" xfId="0" applyNumberFormat="1" applyFont="1" applyFill="1" applyBorder="1" applyAlignment="1">
      <alignment horizontal="right"/>
    </xf>
    <xf numFmtId="0" fontId="11" fillId="5" borderId="21" xfId="0" applyFont="1" applyFill="1" applyBorder="1" applyAlignment="1">
      <alignment horizontal="left"/>
    </xf>
    <xf numFmtId="0" fontId="11" fillId="5" borderId="10" xfId="0" applyFont="1" applyFill="1" applyBorder="1" applyAlignment="1">
      <alignment horizontal="left"/>
    </xf>
    <xf numFmtId="0" fontId="34" fillId="2" borderId="0" xfId="0" applyFont="1" applyFill="1" applyAlignment="1">
      <alignment horizontal="center" vertical="center"/>
    </xf>
    <xf numFmtId="0" fontId="11" fillId="3" borderId="15" xfId="0" applyFont="1" applyFill="1" applyBorder="1" applyAlignment="1" applyProtection="1">
      <alignment horizontal="left" vertical="center"/>
      <protection locked="0"/>
    </xf>
    <xf numFmtId="2" fontId="11" fillId="3" borderId="20" xfId="0" applyNumberFormat="1" applyFont="1" applyFill="1" applyBorder="1" applyAlignment="1" applyProtection="1">
      <alignment horizontal="left" vertical="center"/>
      <protection locked="0"/>
    </xf>
    <xf numFmtId="2" fontId="11" fillId="4" borderId="0" xfId="0" applyNumberFormat="1" applyFont="1" applyFill="1" applyAlignment="1">
      <alignment horizontal="left" vertical="center"/>
    </xf>
    <xf numFmtId="2" fontId="11" fillId="3" borderId="16" xfId="0" applyNumberFormat="1" applyFont="1" applyFill="1" applyBorder="1" applyAlignment="1" applyProtection="1">
      <alignment horizontal="left" vertical="center"/>
      <protection locked="0"/>
    </xf>
    <xf numFmtId="2" fontId="11" fillId="3" borderId="18" xfId="0" applyNumberFormat="1" applyFont="1" applyFill="1" applyBorder="1" applyAlignment="1" applyProtection="1">
      <alignment horizontal="left" vertical="center"/>
      <protection locked="0"/>
    </xf>
    <xf numFmtId="2" fontId="41" fillId="2" borderId="0" xfId="0" applyNumberFormat="1" applyFont="1" applyFill="1" applyAlignment="1">
      <alignment horizontal="left" vertical="center" indent="3"/>
    </xf>
    <xf numFmtId="0" fontId="12" fillId="0" borderId="11" xfId="0" applyFont="1" applyBorder="1" applyAlignment="1">
      <alignment horizontal="left" vertical="top" wrapText="1" indent="2"/>
    </xf>
    <xf numFmtId="0" fontId="12" fillId="0" borderId="1" xfId="0" applyFont="1" applyBorder="1" applyAlignment="1">
      <alignment horizontal="left" vertical="top" wrapText="1" indent="2"/>
    </xf>
    <xf numFmtId="0" fontId="35" fillId="6" borderId="8" xfId="0" applyFont="1" applyFill="1" applyBorder="1" applyAlignment="1">
      <alignment horizontal="left" vertical="center" indent="2"/>
    </xf>
    <xf numFmtId="0" fontId="35" fillId="6" borderId="7" xfId="0" applyFont="1" applyFill="1" applyBorder="1" applyAlignment="1">
      <alignment horizontal="left" vertical="center" indent="2"/>
    </xf>
    <xf numFmtId="0" fontId="35" fillId="6" borderId="9" xfId="0" applyFont="1" applyFill="1" applyBorder="1" applyAlignment="1">
      <alignment horizontal="left" vertical="center" indent="2"/>
    </xf>
    <xf numFmtId="0" fontId="35" fillId="6" borderId="10" xfId="0" applyFont="1" applyFill="1" applyBorder="1" applyAlignment="1">
      <alignment horizontal="left" vertical="center" indent="2"/>
    </xf>
    <xf numFmtId="0" fontId="35" fillId="6" borderId="0" xfId="0" applyFont="1" applyFill="1" applyAlignment="1">
      <alignment horizontal="left" vertical="center" indent="2"/>
    </xf>
    <xf numFmtId="0" fontId="35" fillId="6" borderId="2" xfId="0" applyFont="1" applyFill="1" applyBorder="1" applyAlignment="1">
      <alignment horizontal="left" vertical="center" indent="2"/>
    </xf>
    <xf numFmtId="0" fontId="11" fillId="2" borderId="10" xfId="0" applyFont="1" applyFill="1" applyBorder="1" applyAlignment="1">
      <alignment horizontal="left" wrapText="1" indent="2"/>
    </xf>
    <xf numFmtId="0" fontId="11" fillId="2" borderId="0" xfId="0" applyFont="1" applyFill="1" applyAlignment="1">
      <alignment horizontal="left" wrapText="1" indent="2"/>
    </xf>
    <xf numFmtId="0" fontId="12" fillId="0" borderId="10" xfId="0" applyFont="1" applyBorder="1" applyAlignment="1">
      <alignment horizontal="left" wrapText="1" indent="2"/>
    </xf>
    <xf numFmtId="0" fontId="12" fillId="0" borderId="0" xfId="0" applyFont="1" applyAlignment="1">
      <alignment horizontal="left" wrapText="1" indent="2"/>
    </xf>
    <xf numFmtId="0" fontId="12" fillId="2" borderId="10" xfId="0" applyFont="1" applyFill="1" applyBorder="1" applyAlignment="1">
      <alignment horizontal="left" vertical="center" wrapText="1" indent="2"/>
    </xf>
    <xf numFmtId="0" fontId="12" fillId="2" borderId="0" xfId="0" applyFont="1" applyFill="1" applyAlignment="1">
      <alignment horizontal="left" vertical="center" wrapText="1" indent="2"/>
    </xf>
    <xf numFmtId="0" fontId="32" fillId="6" borderId="0" xfId="0" applyFont="1" applyFill="1" applyAlignment="1">
      <alignment horizontal="left" vertical="center" indent="2"/>
    </xf>
    <xf numFmtId="0" fontId="12" fillId="2" borderId="10" xfId="0" applyFont="1" applyFill="1" applyBorder="1" applyAlignment="1">
      <alignment horizontal="left" wrapText="1" indent="2"/>
    </xf>
    <xf numFmtId="0" fontId="12" fillId="2" borderId="0" xfId="0" applyFont="1" applyFill="1" applyAlignment="1">
      <alignment horizontal="left" wrapText="1" indent="2"/>
    </xf>
    <xf numFmtId="0" fontId="12" fillId="2" borderId="11" xfId="0" applyFont="1" applyFill="1" applyBorder="1" applyAlignment="1">
      <alignment horizontal="left" vertical="center" wrapText="1" indent="2"/>
    </xf>
    <xf numFmtId="0" fontId="12" fillId="2" borderId="1" xfId="0" applyFont="1" applyFill="1" applyBorder="1" applyAlignment="1">
      <alignment horizontal="left" vertical="center" wrapText="1" indent="2"/>
    </xf>
    <xf numFmtId="0" fontId="31" fillId="2" borderId="0" xfId="1" applyFont="1" applyFill="1" applyAlignment="1" applyProtection="1">
      <protection locked="0"/>
    </xf>
    <xf numFmtId="0" fontId="11" fillId="2" borderId="10" xfId="0" applyFont="1" applyFill="1" applyBorder="1" applyAlignment="1">
      <alignment horizontal="left" vertical="top" indent="2"/>
    </xf>
    <xf numFmtId="0" fontId="11" fillId="2" borderId="0" xfId="0" applyFont="1" applyFill="1" applyAlignment="1">
      <alignment horizontal="left" vertical="top" indent="2"/>
    </xf>
    <xf numFmtId="0" fontId="11" fillId="2" borderId="10" xfId="0" applyFont="1" applyFill="1" applyBorder="1" applyAlignment="1">
      <alignment horizontal="left" vertical="top" wrapText="1" indent="2"/>
    </xf>
    <xf numFmtId="0" fontId="11" fillId="2" borderId="0" xfId="0" applyFont="1" applyFill="1" applyAlignment="1">
      <alignment horizontal="left" vertical="top" wrapText="1" indent="2"/>
    </xf>
    <xf numFmtId="0" fontId="8" fillId="2" borderId="10" xfId="0" applyFont="1" applyFill="1" applyBorder="1" applyAlignment="1">
      <alignment horizontal="left" vertical="top" wrapText="1" indent="2"/>
    </xf>
    <xf numFmtId="0" fontId="8" fillId="2" borderId="0" xfId="0" applyFont="1" applyFill="1" applyAlignment="1">
      <alignment horizontal="left" vertical="top" wrapText="1" indent="2"/>
    </xf>
    <xf numFmtId="0" fontId="8" fillId="2" borderId="2" xfId="0" applyFont="1" applyFill="1" applyBorder="1" applyAlignment="1">
      <alignment horizontal="left" vertical="top" wrapText="1" indent="2"/>
    </xf>
    <xf numFmtId="0" fontId="29" fillId="0" borderId="10" xfId="0" applyFont="1" applyBorder="1" applyAlignment="1">
      <alignment horizontal="left" vertical="center" indent="2"/>
    </xf>
    <xf numFmtId="0" fontId="29" fillId="0" borderId="0" xfId="0" applyFont="1" applyAlignment="1">
      <alignment horizontal="left" vertical="center" indent="2"/>
    </xf>
    <xf numFmtId="0" fontId="31" fillId="0" borderId="0" xfId="1" applyFont="1" applyAlignment="1" applyProtection="1">
      <protection locked="0"/>
    </xf>
    <xf numFmtId="0" fontId="12" fillId="2" borderId="0" xfId="0" applyFont="1" applyFill="1" applyAlignment="1">
      <alignment horizontal="left" vertical="top" wrapText="1" indent="2"/>
    </xf>
    <xf numFmtId="0" fontId="30" fillId="0" borderId="10" xfId="0" applyFont="1" applyBorder="1" applyAlignment="1">
      <alignment horizontal="left" vertical="top" indent="2"/>
    </xf>
    <xf numFmtId="0" fontId="30" fillId="0" borderId="0" xfId="0" applyFont="1" applyAlignment="1">
      <alignment horizontal="left" vertical="top" indent="2"/>
    </xf>
    <xf numFmtId="0" fontId="12" fillId="0" borderId="10" xfId="0" applyFont="1" applyBorder="1" applyAlignment="1">
      <alignment horizontal="left" vertical="top" indent="2"/>
    </xf>
    <xf numFmtId="0" fontId="12" fillId="0" borderId="0" xfId="0" applyFont="1" applyAlignment="1">
      <alignment horizontal="left" vertical="top" indent="2"/>
    </xf>
    <xf numFmtId="0" fontId="12" fillId="0" borderId="0" xfId="0" applyFont="1" applyAlignment="1">
      <alignment horizontal="left" vertical="top" wrapText="1" indent="2"/>
    </xf>
    <xf numFmtId="14" fontId="11" fillId="3" borderId="12" xfId="0" applyNumberFormat="1" applyFont="1" applyFill="1" applyBorder="1" applyAlignment="1" applyProtection="1">
      <alignment horizontal="left" vertical="center" wrapText="1"/>
      <protection locked="0"/>
    </xf>
    <xf numFmtId="0" fontId="11" fillId="3" borderId="14" xfId="0" applyFont="1" applyFill="1" applyBorder="1" applyAlignment="1" applyProtection="1">
      <alignment horizontal="left" vertical="center" wrapText="1"/>
      <protection locked="0"/>
    </xf>
    <xf numFmtId="0" fontId="11" fillId="3" borderId="13" xfId="0" applyFont="1" applyFill="1" applyBorder="1" applyAlignment="1" applyProtection="1">
      <alignment horizontal="left" vertical="center" wrapText="1"/>
      <protection locked="0"/>
    </xf>
    <xf numFmtId="0" fontId="35" fillId="6" borderId="10" xfId="0" applyFont="1" applyFill="1" applyBorder="1" applyAlignment="1">
      <alignment horizontal="left" vertical="center" indent="3"/>
    </xf>
    <xf numFmtId="0" fontId="35" fillId="6" borderId="0" xfId="0" applyFont="1" applyFill="1" applyAlignment="1">
      <alignment horizontal="left" vertical="center" indent="3"/>
    </xf>
    <xf numFmtId="0" fontId="35" fillId="6" borderId="2" xfId="0" applyFont="1" applyFill="1" applyBorder="1" applyAlignment="1">
      <alignment horizontal="left" vertical="center" indent="3"/>
    </xf>
    <xf numFmtId="0" fontId="24" fillId="2" borderId="0" xfId="0" applyFont="1" applyFill="1" applyAlignment="1">
      <alignment horizontal="center"/>
    </xf>
    <xf numFmtId="0" fontId="8" fillId="2" borderId="0" xfId="0" applyFont="1" applyFill="1" applyAlignment="1">
      <alignment horizontal="center" vertical="center" wrapText="1"/>
    </xf>
    <xf numFmtId="0" fontId="34" fillId="2" borderId="0" xfId="0" applyFont="1" applyFill="1" applyAlignment="1">
      <alignment horizontal="center"/>
    </xf>
    <xf numFmtId="0" fontId="9" fillId="2" borderId="0" xfId="0" applyFont="1" applyFill="1" applyAlignment="1">
      <alignment horizontal="left" vertical="center" wrapText="1"/>
    </xf>
    <xf numFmtId="0" fontId="8" fillId="2" borderId="12" xfId="0" applyFont="1" applyFill="1" applyBorder="1" applyAlignment="1">
      <alignment horizontal="left"/>
    </xf>
    <xf numFmtId="0" fontId="9" fillId="2" borderId="14" xfId="0" applyFont="1" applyFill="1" applyBorder="1" applyAlignment="1">
      <alignment horizontal="left" vertical="center" wrapText="1"/>
    </xf>
    <xf numFmtId="0" fontId="35" fillId="6" borderId="0" xfId="0" applyFont="1" applyFill="1" applyBorder="1" applyAlignment="1">
      <alignment horizontal="left" vertical="center" indent="3"/>
    </xf>
    <xf numFmtId="0" fontId="34" fillId="2" borderId="0" xfId="0" applyFont="1" applyFill="1" applyAlignment="1">
      <alignment horizontal="center" vertical="center"/>
    </xf>
    <xf numFmtId="0" fontId="35" fillId="6" borderId="8" xfId="0" applyFont="1" applyFill="1" applyBorder="1" applyAlignment="1">
      <alignment horizontal="left" vertical="center" indent="3"/>
    </xf>
    <xf numFmtId="0" fontId="35" fillId="6" borderId="7" xfId="0" applyFont="1" applyFill="1" applyBorder="1" applyAlignment="1">
      <alignment horizontal="left" vertical="center" indent="3"/>
    </xf>
    <xf numFmtId="0" fontId="35" fillId="6" borderId="9" xfId="0" applyFont="1" applyFill="1" applyBorder="1" applyAlignment="1">
      <alignment horizontal="left" vertical="center" indent="3"/>
    </xf>
    <xf numFmtId="0" fontId="21" fillId="2" borderId="0" xfId="0" applyFont="1" applyFill="1" applyAlignment="1">
      <alignment horizontal="center" vertical="top"/>
    </xf>
    <xf numFmtId="0" fontId="8" fillId="2" borderId="0" xfId="0" applyFont="1" applyFill="1" applyAlignment="1">
      <alignment horizontal="left" vertical="center" wrapText="1"/>
    </xf>
    <xf numFmtId="2" fontId="16" fillId="2" borderId="0" xfId="0" applyNumberFormat="1" applyFont="1" applyFill="1" applyAlignment="1">
      <alignment horizontal="center" vertical="center"/>
    </xf>
    <xf numFmtId="2" fontId="16" fillId="4" borderId="0" xfId="0" applyNumberFormat="1" applyFont="1" applyFill="1" applyAlignment="1">
      <alignment horizontal="center" vertical="center"/>
    </xf>
    <xf numFmtId="0" fontId="39" fillId="6" borderId="8" xfId="0" applyFont="1" applyFill="1" applyBorder="1" applyAlignment="1">
      <alignment horizontal="left" vertical="center" indent="3"/>
    </xf>
    <xf numFmtId="0" fontId="39" fillId="6" borderId="7" xfId="0" applyFont="1" applyFill="1" applyBorder="1" applyAlignment="1">
      <alignment horizontal="left" vertical="center" indent="3"/>
    </xf>
    <xf numFmtId="0" fontId="39" fillId="6" borderId="9" xfId="0" applyFont="1" applyFill="1" applyBorder="1" applyAlignment="1">
      <alignment horizontal="left" vertical="center" indent="3"/>
    </xf>
    <xf numFmtId="0" fontId="39" fillId="6" borderId="10" xfId="0" applyFont="1" applyFill="1" applyBorder="1" applyAlignment="1">
      <alignment horizontal="left" vertical="center" indent="3"/>
    </xf>
    <xf numFmtId="0" fontId="39" fillId="6" borderId="0" xfId="0" applyFont="1" applyFill="1" applyAlignment="1">
      <alignment horizontal="left" vertical="center" indent="3"/>
    </xf>
    <xf numFmtId="0" fontId="39" fillId="6" borderId="2" xfId="0" applyFont="1" applyFill="1" applyBorder="1" applyAlignment="1">
      <alignment horizontal="left" vertical="center" indent="3"/>
    </xf>
  </cellXfs>
  <cellStyles count="2">
    <cellStyle name="Hyperlink" xfId="1" builtinId="8"/>
    <cellStyle name="Normal" xfId="0" builtinId="0"/>
  </cellStyles>
  <dxfs count="10">
    <dxf>
      <fill>
        <patternFill>
          <bgColor rgb="FFF7E8BE"/>
        </patternFill>
      </fill>
    </dxf>
    <dxf>
      <fill>
        <patternFill>
          <bgColor rgb="FFF7E8BE"/>
        </patternFill>
      </fill>
    </dxf>
    <dxf>
      <font>
        <color theme="1"/>
      </font>
    </dxf>
    <dxf>
      <fill>
        <patternFill>
          <bgColor rgb="FFF7E8BE"/>
        </patternFill>
      </fill>
    </dxf>
    <dxf>
      <fill>
        <patternFill>
          <fgColor rgb="FFF7E8BE"/>
          <bgColor rgb="FFF7E8BE"/>
        </patternFill>
      </fill>
    </dxf>
    <dxf>
      <fill>
        <patternFill patternType="solid">
          <fgColor rgb="FFF7E8BE"/>
          <bgColor rgb="FFF7E8BE"/>
        </patternFill>
      </fill>
    </dxf>
    <dxf>
      <fill>
        <patternFill>
          <bgColor theme="0"/>
        </patternFill>
      </fill>
    </dxf>
    <dxf>
      <font>
        <b val="0"/>
        <i val="0"/>
        <strike val="0"/>
        <color auto="1"/>
      </font>
      <fill>
        <patternFill>
          <fgColor rgb="FFF7E8BE"/>
          <bgColor rgb="FFF7E8BE"/>
        </patternFill>
      </fill>
    </dxf>
    <dxf>
      <numFmt numFmtId="0" formatCode="General"/>
      <fill>
        <patternFill>
          <bgColor rgb="FF9DD3BE"/>
        </patternFill>
      </fill>
      <border>
        <left/>
        <right/>
        <top/>
        <bottom/>
      </border>
    </dxf>
    <dxf>
      <font>
        <strike val="0"/>
        <color theme="0"/>
      </font>
    </dxf>
  </dxfs>
  <tableStyles count="0" defaultTableStyle="TableStyleMedium2" defaultPivotStyle="PivotStyleLight16"/>
  <colors>
    <mruColors>
      <color rgb="FF449669"/>
      <color rgb="FFF7E8BE"/>
      <color rgb="FF9DD3BE"/>
      <color rgb="FFAAC7EE"/>
      <color rgb="FFF3EEDD"/>
      <color rgb="FF9DDBBE"/>
      <color rgb="FFC5C5C5"/>
      <color rgb="FFC5C1C7"/>
      <color rgb="FFE0CBFD"/>
      <color rgb="FFFECE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flickr.com/photos/r36ariadne/8945173831/" TargetMode="External"/><Relationship Id="rId3" Type="http://schemas.openxmlformats.org/officeDocument/2006/relationships/hyperlink" Target="https://www.gov.uk/government/organisations/natural-england" TargetMode="External"/><Relationship Id="rId7" Type="http://schemas.openxmlformats.org/officeDocument/2006/relationships/image" Target="../media/image3.jpg"/><Relationship Id="rId2" Type="http://schemas.openxmlformats.org/officeDocument/2006/relationships/image" Target="../media/image1.png"/><Relationship Id="rId1" Type="http://schemas.openxmlformats.org/officeDocument/2006/relationships/hyperlink" Target="https://ee.ricardo.com/" TargetMode="External"/><Relationship Id="rId6" Type="http://schemas.openxmlformats.org/officeDocument/2006/relationships/hyperlink" Target="Stodmarsh.xlsx" TargetMode="External"/><Relationship Id="rId5" Type="http://schemas.openxmlformats.org/officeDocument/2006/relationships/hyperlink" Target="#'Solent Marine Sites'!A1"/><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Stage 3'!A1"/><Relationship Id="rId7" Type="http://schemas.openxmlformats.org/officeDocument/2006/relationships/hyperlink" Target="#'Stage 4'!A1"/><Relationship Id="rId2" Type="http://schemas.openxmlformats.org/officeDocument/2006/relationships/image" Target="../media/image6.png"/><Relationship Id="rId1" Type="http://schemas.openxmlformats.org/officeDocument/2006/relationships/hyperlink" Target="#'Stage 1'!A1"/><Relationship Id="rId6" Type="http://schemas.openxmlformats.org/officeDocument/2006/relationships/image" Target="../media/image8.png"/><Relationship Id="rId5" Type="http://schemas.openxmlformats.org/officeDocument/2006/relationships/hyperlink" Target="#'Stage 2'!A1"/><Relationship Id="rId10" Type="http://schemas.openxmlformats.org/officeDocument/2006/relationships/image" Target="../media/image11.png"/><Relationship Id="rId4" Type="http://schemas.openxmlformats.org/officeDocument/2006/relationships/image" Target="../media/image7.png"/><Relationship Id="rId9" Type="http://schemas.openxmlformats.org/officeDocument/2006/relationships/image" Target="../media/image10.pn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Stage 3'!A1"/><Relationship Id="rId7" Type="http://schemas.openxmlformats.org/officeDocument/2006/relationships/hyperlink" Target="#'Stage 4'!A1"/><Relationship Id="rId2" Type="http://schemas.openxmlformats.org/officeDocument/2006/relationships/image" Target="../media/image6.png"/><Relationship Id="rId1" Type="http://schemas.openxmlformats.org/officeDocument/2006/relationships/hyperlink" Target="#'Stage 1'!A1"/><Relationship Id="rId6" Type="http://schemas.openxmlformats.org/officeDocument/2006/relationships/image" Target="../media/image8.png"/><Relationship Id="rId5" Type="http://schemas.openxmlformats.org/officeDocument/2006/relationships/hyperlink" Target="#'Stage 2'!A1"/><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3</xdr:col>
      <xdr:colOff>304800</xdr:colOff>
      <xdr:row>6</xdr:row>
      <xdr:rowOff>304800</xdr:rowOff>
    </xdr:to>
    <xdr:sp macro="" textlink="">
      <xdr:nvSpPr>
        <xdr:cNvPr id="6146" name="AutoShape 2">
          <a:extLst>
            <a:ext uri="{FF2B5EF4-FFF2-40B4-BE49-F238E27FC236}">
              <a16:creationId xmlns:a16="http://schemas.microsoft.com/office/drawing/2014/main" id="{F3FA525F-6FDB-4BEA-9A2F-1AB579041DD2}"/>
            </a:ext>
          </a:extLst>
        </xdr:cNvPr>
        <xdr:cNvSpPr>
          <a:spLocks noChangeAspect="1" noChangeArrowheads="1"/>
        </xdr:cNvSpPr>
      </xdr:nvSpPr>
      <xdr:spPr bwMode="auto">
        <a:xfrm>
          <a:off x="18288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5</xdr:row>
      <xdr:rowOff>0</xdr:rowOff>
    </xdr:from>
    <xdr:to>
      <xdr:col>5</xdr:col>
      <xdr:colOff>304800</xdr:colOff>
      <xdr:row>5</xdr:row>
      <xdr:rowOff>304800</xdr:rowOff>
    </xdr:to>
    <xdr:sp macro="" textlink="">
      <xdr:nvSpPr>
        <xdr:cNvPr id="6147" name="AutoShape 3">
          <a:extLst>
            <a:ext uri="{FF2B5EF4-FFF2-40B4-BE49-F238E27FC236}">
              <a16:creationId xmlns:a16="http://schemas.microsoft.com/office/drawing/2014/main" id="{B140DEB8-F359-4454-A33D-7ED25CD52F5B}"/>
            </a:ext>
          </a:extLst>
        </xdr:cNvPr>
        <xdr:cNvSpPr>
          <a:spLocks noChangeAspect="1" noChangeArrowheads="1"/>
        </xdr:cNvSpPr>
      </xdr:nvSpPr>
      <xdr:spPr bwMode="auto">
        <a:xfrm>
          <a:off x="3048000" y="95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38100</xdr:colOff>
      <xdr:row>1</xdr:row>
      <xdr:rowOff>152400</xdr:rowOff>
    </xdr:from>
    <xdr:to>
      <xdr:col>10</xdr:col>
      <xdr:colOff>346496</xdr:colOff>
      <xdr:row>4</xdr:row>
      <xdr:rowOff>275931</xdr:rowOff>
    </xdr:to>
    <xdr:pic>
      <xdr:nvPicPr>
        <xdr:cNvPr id="7" name="Picture 6">
          <a:hlinkClick xmlns:r="http://schemas.openxmlformats.org/officeDocument/2006/relationships" r:id="rId1"/>
          <a:extLst>
            <a:ext uri="{FF2B5EF4-FFF2-40B4-BE49-F238E27FC236}">
              <a16:creationId xmlns:a16="http://schemas.microsoft.com/office/drawing/2014/main" id="{A94DD4AD-3EEA-416C-B2EF-2E02AD1905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4100" y="514350"/>
          <a:ext cx="1832396" cy="1209381"/>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180976</xdr:colOff>
      <xdr:row>1</xdr:row>
      <xdr:rowOff>180975</xdr:rowOff>
    </xdr:from>
    <xdr:to>
      <xdr:col>4</xdr:col>
      <xdr:colOff>180975</xdr:colOff>
      <xdr:row>4</xdr:row>
      <xdr:rowOff>240510</xdr:rowOff>
    </xdr:to>
    <xdr:pic>
      <xdr:nvPicPr>
        <xdr:cNvPr id="10" name="Picture 9">
          <a:hlinkClick xmlns:r="http://schemas.openxmlformats.org/officeDocument/2006/relationships" r:id="rId3"/>
          <a:extLst>
            <a:ext uri="{FF2B5EF4-FFF2-40B4-BE49-F238E27FC236}">
              <a16:creationId xmlns:a16="http://schemas.microsoft.com/office/drawing/2014/main" id="{E2204205-FAF5-4B6B-A86F-01A92D2D6BB3}"/>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3333" t="2000" r="23445" b="2000"/>
        <a:stretch/>
      </xdr:blipFill>
      <xdr:spPr bwMode="auto">
        <a:xfrm>
          <a:off x="561976" y="542925"/>
          <a:ext cx="1142999" cy="1145385"/>
        </a:xfrm>
        <a:prstGeom prst="rect">
          <a:avLst/>
        </a:prstGeom>
        <a:noFill/>
        <a:effectLst>
          <a:outerShdw blurRad="63500" sx="102000" sy="102000" algn="ctr"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200024</xdr:colOff>
      <xdr:row>5</xdr:row>
      <xdr:rowOff>133351</xdr:rowOff>
    </xdr:from>
    <xdr:to>
      <xdr:col>11</xdr:col>
      <xdr:colOff>76199</xdr:colOff>
      <xdr:row>7</xdr:row>
      <xdr:rowOff>76200</xdr:rowOff>
    </xdr:to>
    <xdr:sp macro="" textlink="">
      <xdr:nvSpPr>
        <xdr:cNvPr id="8" name="TextBox 7">
          <a:extLst>
            <a:ext uri="{FF2B5EF4-FFF2-40B4-BE49-F238E27FC236}">
              <a16:creationId xmlns:a16="http://schemas.microsoft.com/office/drawing/2014/main" id="{2BC5E90D-F7DB-474F-BF74-1B4BF980360F}"/>
            </a:ext>
          </a:extLst>
        </xdr:cNvPr>
        <xdr:cNvSpPr txBox="1"/>
      </xdr:nvSpPr>
      <xdr:spPr>
        <a:xfrm>
          <a:off x="581024" y="1943101"/>
          <a:ext cx="3686175"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a:latin typeface="Century Gothic" panose="020B0502020202020204" pitchFamily="34" charset="0"/>
              <a:ea typeface="Segoe UI" panose="020B0502040204020203" pitchFamily="34" charset="0"/>
              <a:cs typeface="Segoe UI" panose="020B0502040204020203" pitchFamily="34" charset="0"/>
            </a:rPr>
            <a:t>Nutrient Neutrality Budget Calculator </a:t>
          </a: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3</xdr:col>
      <xdr:colOff>247648</xdr:colOff>
      <xdr:row>8</xdr:row>
      <xdr:rowOff>314326</xdr:rowOff>
    </xdr:from>
    <xdr:to>
      <xdr:col>9</xdr:col>
      <xdr:colOff>152399</xdr:colOff>
      <xdr:row>9</xdr:row>
      <xdr:rowOff>354726</xdr:rowOff>
    </xdr:to>
    <xdr:sp macro="" textlink="">
      <xdr:nvSpPr>
        <xdr:cNvPr id="16" name="TextBox 15">
          <a:hlinkClick xmlns:r="http://schemas.openxmlformats.org/officeDocument/2006/relationships" r:id="rId5"/>
          <a:extLst>
            <a:ext uri="{FF2B5EF4-FFF2-40B4-BE49-F238E27FC236}">
              <a16:creationId xmlns:a16="http://schemas.microsoft.com/office/drawing/2014/main" id="{DA266339-9600-4E62-B26B-3BF11ACB0CB9}"/>
            </a:ext>
          </a:extLst>
        </xdr:cNvPr>
        <xdr:cNvSpPr txBox="1"/>
      </xdr:nvSpPr>
      <xdr:spPr>
        <a:xfrm>
          <a:off x="1447798" y="3209926"/>
          <a:ext cx="2305051" cy="402350"/>
        </a:xfrm>
        <a:prstGeom prst="rect">
          <a:avLst/>
        </a:prstGeom>
        <a:solidFill>
          <a:schemeClr val="lt1"/>
        </a:solidFill>
        <a:ln w="38100" cmpd="sng">
          <a:solidFill>
            <a:srgbClr val="44966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a:solidFill>
                <a:srgbClr val="449669"/>
              </a:solidFill>
              <a:effectLst/>
              <a:latin typeface="Century Gothic" panose="020B0502020202020204" pitchFamily="34" charset="0"/>
              <a:ea typeface="+mn-ea"/>
              <a:cs typeface="+mn-cs"/>
            </a:rPr>
            <a:t>Solent Marine</a:t>
          </a:r>
          <a:r>
            <a:rPr lang="en-GB" sz="1800" b="1" baseline="0">
              <a:solidFill>
                <a:srgbClr val="449669"/>
              </a:solidFill>
              <a:effectLst/>
              <a:latin typeface="Century Gothic" panose="020B0502020202020204" pitchFamily="34" charset="0"/>
              <a:ea typeface="+mn-ea"/>
              <a:cs typeface="+mn-cs"/>
            </a:rPr>
            <a:t> Sites</a:t>
          </a:r>
          <a:endParaRPr lang="en-GB" sz="1800" b="1">
            <a:solidFill>
              <a:srgbClr val="449669"/>
            </a:solidFill>
            <a:effectLst/>
            <a:latin typeface="Century Gothic" panose="020B0502020202020204" pitchFamily="34" charset="0"/>
            <a:ea typeface="+mn-ea"/>
            <a:cs typeface="+mn-cs"/>
          </a:endParaRPr>
        </a:p>
        <a:p>
          <a:pPr algn="ctr"/>
          <a:r>
            <a:rPr lang="en-GB" sz="1800" b="1">
              <a:solidFill>
                <a:srgbClr val="449669"/>
              </a:solidFill>
              <a:effectLst/>
              <a:latin typeface="+mn-lt"/>
              <a:ea typeface="+mn-ea"/>
              <a:cs typeface="+mn-cs"/>
            </a:rPr>
            <a:t> </a:t>
          </a:r>
          <a:endParaRPr lang="en-GB" sz="1800" b="1">
            <a:solidFill>
              <a:srgbClr val="449669"/>
            </a:solidFill>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2</xdr:col>
      <xdr:colOff>209550</xdr:colOff>
      <xdr:row>5</xdr:row>
      <xdr:rowOff>66675</xdr:rowOff>
    </xdr:from>
    <xdr:to>
      <xdr:col>10</xdr:col>
      <xdr:colOff>57150</xdr:colOff>
      <xdr:row>5</xdr:row>
      <xdr:rowOff>66675</xdr:rowOff>
    </xdr:to>
    <xdr:cxnSp macro="">
      <xdr:nvCxnSpPr>
        <xdr:cNvPr id="14" name="Straight Connector 13">
          <a:extLst>
            <a:ext uri="{FF2B5EF4-FFF2-40B4-BE49-F238E27FC236}">
              <a16:creationId xmlns:a16="http://schemas.microsoft.com/office/drawing/2014/main" id="{FF16E9BF-5BA5-45AD-84A2-D9613662D088}"/>
            </a:ext>
          </a:extLst>
        </xdr:cNvPr>
        <xdr:cNvCxnSpPr/>
      </xdr:nvCxnSpPr>
      <xdr:spPr>
        <a:xfrm>
          <a:off x="971550" y="1876425"/>
          <a:ext cx="2895600"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200025</xdr:colOff>
      <xdr:row>10</xdr:row>
      <xdr:rowOff>171450</xdr:rowOff>
    </xdr:from>
    <xdr:to>
      <xdr:col>10</xdr:col>
      <xdr:colOff>47625</xdr:colOff>
      <xdr:row>10</xdr:row>
      <xdr:rowOff>171450</xdr:rowOff>
    </xdr:to>
    <xdr:cxnSp macro="">
      <xdr:nvCxnSpPr>
        <xdr:cNvPr id="19" name="Straight Connector 18">
          <a:extLst>
            <a:ext uri="{FF2B5EF4-FFF2-40B4-BE49-F238E27FC236}">
              <a16:creationId xmlns:a16="http://schemas.microsoft.com/office/drawing/2014/main" id="{3FC5B5CB-450A-4E2A-89F6-BD0FC229810C}"/>
            </a:ext>
          </a:extLst>
        </xdr:cNvPr>
        <xdr:cNvCxnSpPr/>
      </xdr:nvCxnSpPr>
      <xdr:spPr>
        <a:xfrm>
          <a:off x="962025" y="3790950"/>
          <a:ext cx="2895600"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7</xdr:row>
      <xdr:rowOff>76201</xdr:rowOff>
    </xdr:from>
    <xdr:to>
      <xdr:col>10</xdr:col>
      <xdr:colOff>104775</xdr:colOff>
      <xdr:row>9</xdr:row>
      <xdr:rowOff>9525</xdr:rowOff>
    </xdr:to>
    <xdr:sp macro="" textlink="">
      <xdr:nvSpPr>
        <xdr:cNvPr id="20" name="TextBox 19">
          <a:hlinkClick xmlns:r="http://schemas.openxmlformats.org/officeDocument/2006/relationships" r:id="rId6"/>
          <a:extLst>
            <a:ext uri="{FF2B5EF4-FFF2-40B4-BE49-F238E27FC236}">
              <a16:creationId xmlns:a16="http://schemas.microsoft.com/office/drawing/2014/main" id="{19D50B77-7D40-4832-A893-F919EAE1C2A1}"/>
            </a:ext>
          </a:extLst>
        </xdr:cNvPr>
        <xdr:cNvSpPr txBox="1"/>
      </xdr:nvSpPr>
      <xdr:spPr>
        <a:xfrm>
          <a:off x="933450" y="2609851"/>
          <a:ext cx="2981325" cy="657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b="1">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rPr>
            <a:t>a</a:t>
          </a:r>
          <a:r>
            <a:rPr lang="en-GB" sz="1200" b="1" baseline="0">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rPr>
            <a:t> tool for assessing the nutrient loading to a Habitats Designated Site</a:t>
          </a:r>
          <a:endParaRPr lang="en-GB" sz="1200" b="1">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editAs="oneCell">
    <xdr:from>
      <xdr:col>11</xdr:col>
      <xdr:colOff>349299</xdr:colOff>
      <xdr:row>2</xdr:row>
      <xdr:rowOff>13610</xdr:rowOff>
    </xdr:from>
    <xdr:to>
      <xdr:col>19</xdr:col>
      <xdr:colOff>346381</xdr:colOff>
      <xdr:row>10</xdr:row>
      <xdr:rowOff>171450</xdr:rowOff>
    </xdr:to>
    <xdr:pic>
      <xdr:nvPicPr>
        <xdr:cNvPr id="12" name="Picture 11">
          <a:extLst>
            <a:ext uri="{FF2B5EF4-FFF2-40B4-BE49-F238E27FC236}">
              <a16:creationId xmlns:a16="http://schemas.microsoft.com/office/drawing/2014/main" id="{D14C23C2-8755-46A0-B5ED-694153E2556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 uri="{837473B0-CC2E-450A-ABE3-18F120FF3D39}">
              <a1611:picAttrSrcUrl xmlns:a1611="http://schemas.microsoft.com/office/drawing/2016/11/main" r:id="rId8"/>
            </a:ext>
          </a:extLst>
        </a:blip>
        <a:srcRect/>
        <a:stretch/>
      </xdr:blipFill>
      <xdr:spPr bwMode="auto">
        <a:xfrm>
          <a:off x="4540299" y="737510"/>
          <a:ext cx="4607182" cy="3053440"/>
        </a:xfrm>
        <a:prstGeom prst="rect">
          <a:avLst/>
        </a:prstGeom>
        <a:noFill/>
        <a:effectLst>
          <a:outerShdw blurRad="63500" sx="102000" sy="102000" algn="ctr"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273842</xdr:colOff>
      <xdr:row>9</xdr:row>
      <xdr:rowOff>0</xdr:rowOff>
    </xdr:from>
    <xdr:to>
      <xdr:col>12</xdr:col>
      <xdr:colOff>133349</xdr:colOff>
      <xdr:row>31</xdr:row>
      <xdr:rowOff>97185</xdr:rowOff>
    </xdr:to>
    <xdr:pic>
      <xdr:nvPicPr>
        <xdr:cNvPr id="2" name="Picture 1">
          <a:extLst>
            <a:ext uri="{FF2B5EF4-FFF2-40B4-BE49-F238E27FC236}">
              <a16:creationId xmlns:a16="http://schemas.microsoft.com/office/drawing/2014/main" id="{0888C243-F1D7-477C-B416-1096E0C235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30" r="330"/>
        <a:stretch/>
      </xdr:blipFill>
      <xdr:spPr>
        <a:xfrm>
          <a:off x="883442" y="2733675"/>
          <a:ext cx="6565107" cy="4288185"/>
        </a:xfrm>
        <a:prstGeom prst="rect">
          <a:avLst/>
        </a:prstGeom>
      </xdr:spPr>
    </xdr:pic>
    <xdr:clientData/>
  </xdr:twoCellAnchor>
  <xdr:twoCellAnchor>
    <xdr:from>
      <xdr:col>1</xdr:col>
      <xdr:colOff>107154</xdr:colOff>
      <xdr:row>9</xdr:row>
      <xdr:rowOff>71428</xdr:rowOff>
    </xdr:from>
    <xdr:to>
      <xdr:col>2</xdr:col>
      <xdr:colOff>288129</xdr:colOff>
      <xdr:row>12</xdr:row>
      <xdr:rowOff>23803</xdr:rowOff>
    </xdr:to>
    <xdr:sp macro="" textlink="">
      <xdr:nvSpPr>
        <xdr:cNvPr id="3" name="TextBox 2">
          <a:extLst>
            <a:ext uri="{FF2B5EF4-FFF2-40B4-BE49-F238E27FC236}">
              <a16:creationId xmlns:a16="http://schemas.microsoft.com/office/drawing/2014/main" id="{D7676C6A-48B8-4E78-B753-BDFB7435DD5F}"/>
            </a:ext>
          </a:extLst>
        </xdr:cNvPr>
        <xdr:cNvSpPr txBox="1"/>
      </xdr:nvSpPr>
      <xdr:spPr>
        <a:xfrm>
          <a:off x="748504" y="2770178"/>
          <a:ext cx="8223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Figure 1:</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47624</xdr:colOff>
      <xdr:row>4</xdr:row>
      <xdr:rowOff>3826</xdr:rowOff>
    </xdr:from>
    <xdr:to>
      <xdr:col>30</xdr:col>
      <xdr:colOff>1654175</xdr:colOff>
      <xdr:row>22</xdr:row>
      <xdr:rowOff>15392</xdr:rowOff>
    </xdr:to>
    <xdr:pic>
      <xdr:nvPicPr>
        <xdr:cNvPr id="2" name="Picture 1">
          <a:extLst>
            <a:ext uri="{FF2B5EF4-FFF2-40B4-BE49-F238E27FC236}">
              <a16:creationId xmlns:a16="http://schemas.microsoft.com/office/drawing/2014/main" id="{F4177EDE-75FB-47B4-92AA-E4A2F59A7D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467724" y="756301"/>
          <a:ext cx="9512301" cy="6726691"/>
        </a:xfrm>
        <a:prstGeom prst="rect">
          <a:avLst/>
        </a:prstGeom>
        <a:ln w="38100">
          <a:solidFill>
            <a:srgbClr val="449669"/>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98066</xdr:colOff>
      <xdr:row>14</xdr:row>
      <xdr:rowOff>2774</xdr:rowOff>
    </xdr:from>
    <xdr:to>
      <xdr:col>4</xdr:col>
      <xdr:colOff>564810</xdr:colOff>
      <xdr:row>17</xdr:row>
      <xdr:rowOff>167620</xdr:rowOff>
    </xdr:to>
    <xdr:sp macro="" textlink="">
      <xdr:nvSpPr>
        <xdr:cNvPr id="2" name="TextBox 7">
          <a:extLst>
            <a:ext uri="{FF2B5EF4-FFF2-40B4-BE49-F238E27FC236}">
              <a16:creationId xmlns:a16="http://schemas.microsoft.com/office/drawing/2014/main" id="{EB5BBA1F-1897-46F9-844D-F1F449D6FE03}"/>
            </a:ext>
          </a:extLst>
        </xdr:cNvPr>
        <xdr:cNvSpPr txBox="1"/>
      </xdr:nvSpPr>
      <xdr:spPr>
        <a:xfrm>
          <a:off x="2041166" y="2593574"/>
          <a:ext cx="1076344"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1</a:t>
          </a:r>
        </a:p>
        <a:p>
          <a:r>
            <a:rPr lang="en-GB" sz="1100" b="0">
              <a:latin typeface="Arial" panose="020B0604020202020204" pitchFamily="34" charset="0"/>
              <a:cs typeface="Arial" panose="020B0604020202020204" pitchFamily="34" charset="0"/>
            </a:rPr>
            <a:t>Nutrient loading from additional wastewater </a:t>
          </a:r>
        </a:p>
      </xdr:txBody>
    </xdr:sp>
    <xdr:clientData/>
  </xdr:twoCellAnchor>
  <xdr:twoCellAnchor>
    <xdr:from>
      <xdr:col>5</xdr:col>
      <xdr:colOff>73920</xdr:colOff>
      <xdr:row>14</xdr:row>
      <xdr:rowOff>2774</xdr:rowOff>
    </xdr:from>
    <xdr:to>
      <xdr:col>6</xdr:col>
      <xdr:colOff>542130</xdr:colOff>
      <xdr:row>17</xdr:row>
      <xdr:rowOff>167620</xdr:rowOff>
    </xdr:to>
    <xdr:sp macro="" textlink="">
      <xdr:nvSpPr>
        <xdr:cNvPr id="3" name="TextBox 14">
          <a:extLst>
            <a:ext uri="{FF2B5EF4-FFF2-40B4-BE49-F238E27FC236}">
              <a16:creationId xmlns:a16="http://schemas.microsoft.com/office/drawing/2014/main" id="{85649DF0-FF13-4F6F-BDAD-9D267E251C48}"/>
            </a:ext>
          </a:extLst>
        </xdr:cNvPr>
        <xdr:cNvSpPr txBox="1"/>
      </xdr:nvSpPr>
      <xdr:spPr>
        <a:xfrm>
          <a:off x="3236220" y="2593574"/>
          <a:ext cx="1077810"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2</a:t>
          </a:r>
        </a:p>
        <a:p>
          <a:r>
            <a:rPr lang="en-GB" sz="1100">
              <a:latin typeface="Arial" panose="020B0604020202020204" pitchFamily="34" charset="0"/>
              <a:cs typeface="Arial" panose="020B0604020202020204" pitchFamily="34" charset="0"/>
            </a:rPr>
            <a:t>Nutrient loading from current land use</a:t>
          </a:r>
        </a:p>
      </xdr:txBody>
    </xdr:sp>
    <xdr:clientData/>
  </xdr:twoCellAnchor>
  <xdr:twoCellAnchor>
    <xdr:from>
      <xdr:col>7</xdr:col>
      <xdr:colOff>62963</xdr:colOff>
      <xdr:row>13</xdr:row>
      <xdr:rowOff>183749</xdr:rowOff>
    </xdr:from>
    <xdr:to>
      <xdr:col>8</xdr:col>
      <xdr:colOff>529708</xdr:colOff>
      <xdr:row>17</xdr:row>
      <xdr:rowOff>158095</xdr:rowOff>
    </xdr:to>
    <xdr:sp macro="" textlink="">
      <xdr:nvSpPr>
        <xdr:cNvPr id="4" name="TextBox 15">
          <a:extLst>
            <a:ext uri="{FF2B5EF4-FFF2-40B4-BE49-F238E27FC236}">
              <a16:creationId xmlns:a16="http://schemas.microsoft.com/office/drawing/2014/main" id="{7A20A7A5-3E76-4F46-BD44-B3DEB92394C5}"/>
            </a:ext>
          </a:extLst>
        </xdr:cNvPr>
        <xdr:cNvSpPr txBox="1"/>
      </xdr:nvSpPr>
      <xdr:spPr>
        <a:xfrm>
          <a:off x="4673063" y="2507849"/>
          <a:ext cx="1108095" cy="7109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3</a:t>
          </a:r>
        </a:p>
        <a:p>
          <a:r>
            <a:rPr lang="en-GB" sz="1100">
              <a:latin typeface="Arial" panose="020B0604020202020204" pitchFamily="34" charset="0"/>
              <a:cs typeface="Arial" panose="020B0604020202020204" pitchFamily="34" charset="0"/>
            </a:rPr>
            <a:t>Nutrient loading from future land use</a:t>
          </a:r>
        </a:p>
      </xdr:txBody>
    </xdr:sp>
    <xdr:clientData/>
  </xdr:twoCellAnchor>
  <xdr:twoCellAnchor>
    <xdr:from>
      <xdr:col>9</xdr:col>
      <xdr:colOff>48338</xdr:colOff>
      <xdr:row>14</xdr:row>
      <xdr:rowOff>2774</xdr:rowOff>
    </xdr:from>
    <xdr:to>
      <xdr:col>10</xdr:col>
      <xdr:colOff>515083</xdr:colOff>
      <xdr:row>17</xdr:row>
      <xdr:rowOff>4050</xdr:rowOff>
    </xdr:to>
    <xdr:sp macro="" textlink="">
      <xdr:nvSpPr>
        <xdr:cNvPr id="5" name="TextBox 16">
          <a:extLst>
            <a:ext uri="{FF2B5EF4-FFF2-40B4-BE49-F238E27FC236}">
              <a16:creationId xmlns:a16="http://schemas.microsoft.com/office/drawing/2014/main" id="{4DE39AA1-AF86-4E47-A197-62E8ACAF2411}"/>
            </a:ext>
          </a:extLst>
        </xdr:cNvPr>
        <xdr:cNvSpPr txBox="1"/>
      </xdr:nvSpPr>
      <xdr:spPr>
        <a:xfrm>
          <a:off x="5649038" y="2593574"/>
          <a:ext cx="1076345" cy="57277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4</a:t>
          </a:r>
        </a:p>
        <a:p>
          <a:r>
            <a:rPr lang="en-GB" sz="1100">
              <a:latin typeface="Arial" panose="020B0604020202020204" pitchFamily="34" charset="0"/>
              <a:cs typeface="Arial" panose="020B0604020202020204" pitchFamily="34" charset="0"/>
            </a:rPr>
            <a:t>Nutrient budget calculation</a:t>
          </a:r>
        </a:p>
      </xdr:txBody>
    </xdr:sp>
    <xdr:clientData/>
  </xdr:twoCellAnchor>
  <xdr:twoCellAnchor editAs="oneCell">
    <xdr:from>
      <xdr:col>3</xdr:col>
      <xdr:colOff>0</xdr:colOff>
      <xdr:row>8</xdr:row>
      <xdr:rowOff>123826</xdr:rowOff>
    </xdr:from>
    <xdr:to>
      <xdr:col>5</xdr:col>
      <xdr:colOff>66676</xdr:colOff>
      <xdr:row>14</xdr:row>
      <xdr:rowOff>35163</xdr:rowOff>
    </xdr:to>
    <xdr:pic>
      <xdr:nvPicPr>
        <xdr:cNvPr id="6" name="Picture 5">
          <a:hlinkClick xmlns:r="http://schemas.openxmlformats.org/officeDocument/2006/relationships" r:id="rId1"/>
          <a:extLst>
            <a:ext uri="{FF2B5EF4-FFF2-40B4-BE49-F238E27FC236}">
              <a16:creationId xmlns:a16="http://schemas.microsoft.com/office/drawing/2014/main" id="{EC21BA63-6C24-4F7B-A76A-D9D4B29C46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4700" y="1527176"/>
          <a:ext cx="1346201" cy="1000362"/>
        </a:xfrm>
        <a:prstGeom prst="rect">
          <a:avLst/>
        </a:prstGeom>
      </xdr:spPr>
    </xdr:pic>
    <xdr:clientData/>
  </xdr:twoCellAnchor>
  <xdr:twoCellAnchor editAs="oneCell">
    <xdr:from>
      <xdr:col>6</xdr:col>
      <xdr:colOff>569393</xdr:colOff>
      <xdr:row>8</xdr:row>
      <xdr:rowOff>121426</xdr:rowOff>
    </xdr:from>
    <xdr:to>
      <xdr:col>9</xdr:col>
      <xdr:colOff>36288</xdr:colOff>
      <xdr:row>14</xdr:row>
      <xdr:rowOff>29656</xdr:rowOff>
    </xdr:to>
    <xdr:pic>
      <xdr:nvPicPr>
        <xdr:cNvPr id="7" name="Picture 6">
          <a:hlinkClick xmlns:r="http://schemas.openxmlformats.org/officeDocument/2006/relationships" r:id="rId3"/>
          <a:extLst>
            <a:ext uri="{FF2B5EF4-FFF2-40B4-BE49-F238E27FC236}">
              <a16:creationId xmlns:a16="http://schemas.microsoft.com/office/drawing/2014/main" id="{D94C2B22-9349-43B5-8AD2-2503E23B83B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38143" y="1524776"/>
          <a:ext cx="1381420" cy="994080"/>
        </a:xfrm>
        <a:prstGeom prst="rect">
          <a:avLst/>
        </a:prstGeom>
      </xdr:spPr>
    </xdr:pic>
    <xdr:clientData/>
  </xdr:twoCellAnchor>
  <xdr:twoCellAnchor editAs="oneCell">
    <xdr:from>
      <xdr:col>4</xdr:col>
      <xdr:colOff>586978</xdr:colOff>
      <xdr:row>8</xdr:row>
      <xdr:rowOff>0</xdr:rowOff>
    </xdr:from>
    <xdr:to>
      <xdr:col>7</xdr:col>
      <xdr:colOff>56113</xdr:colOff>
      <xdr:row>13</xdr:row>
      <xdr:rowOff>85739</xdr:rowOff>
    </xdr:to>
    <xdr:pic>
      <xdr:nvPicPr>
        <xdr:cNvPr id="8" name="Picture 7">
          <a:hlinkClick xmlns:r="http://schemas.openxmlformats.org/officeDocument/2006/relationships" r:id="rId5"/>
          <a:extLst>
            <a:ext uri="{FF2B5EF4-FFF2-40B4-BE49-F238E27FC236}">
              <a16:creationId xmlns:a16="http://schemas.microsoft.com/office/drawing/2014/main" id="{EB8D46D0-6989-4BBC-82B9-A70A86BB6FF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273028" y="1403350"/>
          <a:ext cx="1386835" cy="987439"/>
        </a:xfrm>
        <a:prstGeom prst="rect">
          <a:avLst/>
        </a:prstGeom>
      </xdr:spPr>
    </xdr:pic>
    <xdr:clientData/>
  </xdr:twoCellAnchor>
  <xdr:twoCellAnchor editAs="oneCell">
    <xdr:from>
      <xdr:col>8</xdr:col>
      <xdr:colOff>552868</xdr:colOff>
      <xdr:row>8</xdr:row>
      <xdr:rowOff>0</xdr:rowOff>
    </xdr:from>
    <xdr:to>
      <xdr:col>11</xdr:col>
      <xdr:colOff>28313</xdr:colOff>
      <xdr:row>13</xdr:row>
      <xdr:rowOff>86194</xdr:rowOff>
    </xdr:to>
    <xdr:pic>
      <xdr:nvPicPr>
        <xdr:cNvPr id="9" name="Picture 8">
          <a:hlinkClick xmlns:r="http://schemas.openxmlformats.org/officeDocument/2006/relationships" r:id="rId7"/>
          <a:extLst>
            <a:ext uri="{FF2B5EF4-FFF2-40B4-BE49-F238E27FC236}">
              <a16:creationId xmlns:a16="http://schemas.microsoft.com/office/drawing/2014/main" id="{EFA5B9DD-1747-490F-8B65-69668956414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804318" y="1403350"/>
          <a:ext cx="1393145" cy="994244"/>
        </a:xfrm>
        <a:prstGeom prst="rect">
          <a:avLst/>
        </a:prstGeom>
      </xdr:spPr>
    </xdr:pic>
    <xdr:clientData/>
  </xdr:twoCellAnchor>
  <xdr:twoCellAnchor editAs="oneCell">
    <xdr:from>
      <xdr:col>0</xdr:col>
      <xdr:colOff>373254</xdr:colOff>
      <xdr:row>67</xdr:row>
      <xdr:rowOff>99703</xdr:rowOff>
    </xdr:from>
    <xdr:to>
      <xdr:col>12</xdr:col>
      <xdr:colOff>523876</xdr:colOff>
      <xdr:row>71</xdr:row>
      <xdr:rowOff>256082</xdr:rowOff>
    </xdr:to>
    <xdr:pic>
      <xdr:nvPicPr>
        <xdr:cNvPr id="10" name="Picture 9">
          <a:extLst>
            <a:ext uri="{FF2B5EF4-FFF2-40B4-BE49-F238E27FC236}">
              <a16:creationId xmlns:a16="http://schemas.microsoft.com/office/drawing/2014/main" id="{E13E6F4A-8C76-4546-B9AF-2689A73FD24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3254" y="17593953"/>
          <a:ext cx="7938897" cy="1794678"/>
        </a:xfrm>
        <a:prstGeom prst="rect">
          <a:avLst/>
        </a:prstGeom>
      </xdr:spPr>
    </xdr:pic>
    <xdr:clientData/>
  </xdr:twoCellAnchor>
  <xdr:twoCellAnchor editAs="oneCell">
    <xdr:from>
      <xdr:col>2</xdr:col>
      <xdr:colOff>561977</xdr:colOff>
      <xdr:row>27</xdr:row>
      <xdr:rowOff>104779</xdr:rowOff>
    </xdr:from>
    <xdr:to>
      <xdr:col>11</xdr:col>
      <xdr:colOff>101906</xdr:colOff>
      <xdr:row>35</xdr:row>
      <xdr:rowOff>428625</xdr:rowOff>
    </xdr:to>
    <xdr:pic>
      <xdr:nvPicPr>
        <xdr:cNvPr id="11" name="Picture 10">
          <a:extLst>
            <a:ext uri="{FF2B5EF4-FFF2-40B4-BE49-F238E27FC236}">
              <a16:creationId xmlns:a16="http://schemas.microsoft.com/office/drawing/2014/main" id="{3A02EBEC-AA3C-4B87-ACB6-85596478ECA4}"/>
            </a:ext>
          </a:extLst>
        </xdr:cNvPr>
        <xdr:cNvPicPr>
          <a:picLocks noChangeAspect="1"/>
        </xdr:cNvPicPr>
      </xdr:nvPicPr>
      <xdr:blipFill rotWithShape="1">
        <a:blip xmlns:r="http://schemas.openxmlformats.org/officeDocument/2006/relationships" r:embed="rId10"/>
        <a:srcRect l="51428" t="38163" r="34591" b="44722"/>
        <a:stretch/>
      </xdr:blipFill>
      <xdr:spPr>
        <a:xfrm>
          <a:off x="1844677" y="5127629"/>
          <a:ext cx="5407329" cy="17144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xdr:row>
      <xdr:rowOff>57149</xdr:rowOff>
    </xdr:from>
    <xdr:to>
      <xdr:col>3</xdr:col>
      <xdr:colOff>0</xdr:colOff>
      <xdr:row>4</xdr:row>
      <xdr:rowOff>72149</xdr:rowOff>
    </xdr:to>
    <xdr:sp macro="" textlink="">
      <xdr:nvSpPr>
        <xdr:cNvPr id="2" name="TextBox 1">
          <a:extLst>
            <a:ext uri="{FF2B5EF4-FFF2-40B4-BE49-F238E27FC236}">
              <a16:creationId xmlns:a16="http://schemas.microsoft.com/office/drawing/2014/main" id="{F6659CFF-5286-40D7-98F4-B757E28119DB}"/>
            </a:ext>
          </a:extLst>
        </xdr:cNvPr>
        <xdr:cNvSpPr txBox="1"/>
      </xdr:nvSpPr>
      <xdr:spPr>
        <a:xfrm>
          <a:off x="628650" y="438149"/>
          <a:ext cx="3629025" cy="396000"/>
        </a:xfrm>
        <a:prstGeom prst="rect">
          <a:avLst/>
        </a:prstGeom>
        <a:solidFill>
          <a:schemeClr val="lt1"/>
        </a:solidFill>
        <a:ln w="38100" cmpd="sng">
          <a:solidFill>
            <a:srgbClr val="44966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800" b="1">
              <a:solidFill>
                <a:srgbClr val="449669"/>
              </a:solidFill>
              <a:effectLst/>
              <a:latin typeface="Century Gothic" panose="020B0502020202020204" pitchFamily="34" charset="0"/>
              <a:ea typeface="+mn-ea"/>
              <a:cs typeface="+mn-cs"/>
            </a:rPr>
            <a:t>Stage</a:t>
          </a:r>
          <a:r>
            <a:rPr lang="en-GB" sz="1800" b="1" baseline="0">
              <a:solidFill>
                <a:srgbClr val="449669"/>
              </a:solidFill>
              <a:effectLst/>
              <a:latin typeface="Century Gothic" panose="020B0502020202020204" pitchFamily="34" charset="0"/>
              <a:ea typeface="+mn-ea"/>
              <a:cs typeface="+mn-cs"/>
            </a:rPr>
            <a:t> 4</a:t>
          </a: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0</xdr:col>
      <xdr:colOff>552450</xdr:colOff>
      <xdr:row>4</xdr:row>
      <xdr:rowOff>180975</xdr:rowOff>
    </xdr:from>
    <xdr:to>
      <xdr:col>3</xdr:col>
      <xdr:colOff>66675</xdr:colOff>
      <xdr:row>6</xdr:row>
      <xdr:rowOff>133349</xdr:rowOff>
    </xdr:to>
    <xdr:sp macro="" textlink="">
      <xdr:nvSpPr>
        <xdr:cNvPr id="3" name="TextBox 2">
          <a:extLst>
            <a:ext uri="{FF2B5EF4-FFF2-40B4-BE49-F238E27FC236}">
              <a16:creationId xmlns:a16="http://schemas.microsoft.com/office/drawing/2014/main" id="{DC6F458F-5243-4801-8D6D-68E79E45F72B}"/>
            </a:ext>
          </a:extLst>
        </xdr:cNvPr>
        <xdr:cNvSpPr txBox="1"/>
      </xdr:nvSpPr>
      <xdr:spPr>
        <a:xfrm>
          <a:off x="552450" y="942975"/>
          <a:ext cx="3771900" cy="361949"/>
        </a:xfrm>
        <a:prstGeom prst="rect">
          <a:avLst/>
        </a:prstGeom>
        <a:solidFill>
          <a:schemeClr val="lt1"/>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ysClr val="windowText" lastClr="000000"/>
              </a:solidFill>
              <a:effectLst/>
              <a:latin typeface="Century Gothic" panose="020B0502020202020204" pitchFamily="34" charset="0"/>
              <a:ea typeface="+mn-ea"/>
              <a:cs typeface="+mn-cs"/>
            </a:rPr>
            <a:t>Calculated</a:t>
          </a:r>
          <a:r>
            <a:rPr lang="en-GB" sz="1200" b="1" baseline="0">
              <a:solidFill>
                <a:sysClr val="windowText" lastClr="000000"/>
              </a:solidFill>
              <a:effectLst/>
              <a:latin typeface="Century Gothic" panose="020B0502020202020204" pitchFamily="34" charset="0"/>
              <a:ea typeface="+mn-ea"/>
              <a:cs typeface="+mn-cs"/>
            </a:rPr>
            <a:t> </a:t>
          </a:r>
          <a:r>
            <a:rPr lang="en-GB" sz="1200" b="1">
              <a:solidFill>
                <a:sysClr val="windowText" lastClr="000000"/>
              </a:solidFill>
              <a:effectLst/>
              <a:latin typeface="Century Gothic" panose="020B0502020202020204" pitchFamily="34" charset="0"/>
              <a:ea typeface="+mn-ea"/>
              <a:cs typeface="+mn-cs"/>
            </a:rPr>
            <a:t>Outputs</a:t>
          </a:r>
          <a:endParaRPr lang="en-GB" sz="1200" b="1">
            <a:solidFill>
              <a:sysClr val="windowText" lastClr="000000"/>
            </a:solidFill>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1</xdr:col>
      <xdr:colOff>1558556</xdr:colOff>
      <xdr:row>5</xdr:row>
      <xdr:rowOff>19050</xdr:rowOff>
    </xdr:from>
    <xdr:to>
      <xdr:col>2</xdr:col>
      <xdr:colOff>257618</xdr:colOff>
      <xdr:row>5</xdr:row>
      <xdr:rowOff>19050</xdr:rowOff>
    </xdr:to>
    <xdr:cxnSp macro="">
      <xdr:nvCxnSpPr>
        <xdr:cNvPr id="4" name="Straight Connector 3">
          <a:extLst>
            <a:ext uri="{FF2B5EF4-FFF2-40B4-BE49-F238E27FC236}">
              <a16:creationId xmlns:a16="http://schemas.microsoft.com/office/drawing/2014/main" id="{935094C3-62FA-4563-A21D-C0A8CA6D4D15}"/>
            </a:ext>
          </a:extLst>
        </xdr:cNvPr>
        <xdr:cNvCxnSpPr/>
      </xdr:nvCxnSpPr>
      <xdr:spPr>
        <a:xfrm>
          <a:off x="2168156" y="971550"/>
          <a:ext cx="556437"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1558556</xdr:colOff>
      <xdr:row>6</xdr:row>
      <xdr:rowOff>95250</xdr:rowOff>
    </xdr:from>
    <xdr:to>
      <xdr:col>2</xdr:col>
      <xdr:colOff>257618</xdr:colOff>
      <xdr:row>6</xdr:row>
      <xdr:rowOff>95250</xdr:rowOff>
    </xdr:to>
    <xdr:cxnSp macro="">
      <xdr:nvCxnSpPr>
        <xdr:cNvPr id="5" name="Straight Connector 4">
          <a:extLst>
            <a:ext uri="{FF2B5EF4-FFF2-40B4-BE49-F238E27FC236}">
              <a16:creationId xmlns:a16="http://schemas.microsoft.com/office/drawing/2014/main" id="{4BE1D860-027E-463E-9523-BF967B628009}"/>
            </a:ext>
          </a:extLst>
        </xdr:cNvPr>
        <xdr:cNvCxnSpPr/>
      </xdr:nvCxnSpPr>
      <xdr:spPr>
        <a:xfrm>
          <a:off x="2168156" y="1266825"/>
          <a:ext cx="556437"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174266</xdr:colOff>
      <xdr:row>18</xdr:row>
      <xdr:rowOff>69449</xdr:rowOff>
    </xdr:from>
    <xdr:to>
      <xdr:col>10</xdr:col>
      <xdr:colOff>164760</xdr:colOff>
      <xdr:row>20</xdr:row>
      <xdr:rowOff>28450</xdr:rowOff>
    </xdr:to>
    <xdr:sp macro="" textlink="">
      <xdr:nvSpPr>
        <xdr:cNvPr id="6" name="TextBox 7">
          <a:extLst>
            <a:ext uri="{FF2B5EF4-FFF2-40B4-BE49-F238E27FC236}">
              <a16:creationId xmlns:a16="http://schemas.microsoft.com/office/drawing/2014/main" id="{A33283A2-3285-46F7-84EB-4AA89F75F0AF}"/>
            </a:ext>
          </a:extLst>
        </xdr:cNvPr>
        <xdr:cNvSpPr txBox="1"/>
      </xdr:nvSpPr>
      <xdr:spPr>
        <a:xfrm>
          <a:off x="8099066" y="3879449"/>
          <a:ext cx="1076344" cy="397151"/>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1</a:t>
          </a:r>
        </a:p>
        <a:p>
          <a:r>
            <a:rPr lang="en-GB" sz="1100" b="0">
              <a:latin typeface="Arial" panose="020B0604020202020204" pitchFamily="34" charset="0"/>
              <a:cs typeface="Arial" panose="020B0604020202020204" pitchFamily="34" charset="0"/>
            </a:rPr>
            <a:t>Value:</a:t>
          </a:r>
        </a:p>
      </xdr:txBody>
    </xdr:sp>
    <xdr:clientData/>
  </xdr:twoCellAnchor>
  <xdr:twoCellAnchor>
    <xdr:from>
      <xdr:col>10</xdr:col>
      <xdr:colOff>283470</xdr:colOff>
      <xdr:row>18</xdr:row>
      <xdr:rowOff>78974</xdr:rowOff>
    </xdr:from>
    <xdr:to>
      <xdr:col>12</xdr:col>
      <xdr:colOff>142080</xdr:colOff>
      <xdr:row>21</xdr:row>
      <xdr:rowOff>158095</xdr:rowOff>
    </xdr:to>
    <xdr:sp macro="" textlink="">
      <xdr:nvSpPr>
        <xdr:cNvPr id="7" name="TextBox 14">
          <a:extLst>
            <a:ext uri="{FF2B5EF4-FFF2-40B4-BE49-F238E27FC236}">
              <a16:creationId xmlns:a16="http://schemas.microsoft.com/office/drawing/2014/main" id="{568BEE80-E58D-4EA6-8C38-17AB8BAA4BAA}"/>
            </a:ext>
          </a:extLst>
        </xdr:cNvPr>
        <xdr:cNvSpPr txBox="1"/>
      </xdr:nvSpPr>
      <xdr:spPr>
        <a:xfrm>
          <a:off x="9294120" y="3888974"/>
          <a:ext cx="1077810"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2</a:t>
          </a:r>
        </a:p>
        <a:p>
          <a:r>
            <a:rPr lang="en-GB" sz="1100">
              <a:latin typeface="Arial" panose="020B0604020202020204" pitchFamily="34" charset="0"/>
              <a:cs typeface="Arial" panose="020B0604020202020204" pitchFamily="34" charset="0"/>
            </a:rPr>
            <a:t>Nutrient loading from current land use</a:t>
          </a:r>
        </a:p>
      </xdr:txBody>
    </xdr:sp>
    <xdr:clientData/>
  </xdr:twoCellAnchor>
  <xdr:twoCellAnchor>
    <xdr:from>
      <xdr:col>12</xdr:col>
      <xdr:colOff>272513</xdr:colOff>
      <xdr:row>18</xdr:row>
      <xdr:rowOff>78974</xdr:rowOff>
    </xdr:from>
    <xdr:to>
      <xdr:col>14</xdr:col>
      <xdr:colOff>129658</xdr:colOff>
      <xdr:row>21</xdr:row>
      <xdr:rowOff>158095</xdr:rowOff>
    </xdr:to>
    <xdr:sp macro="" textlink="">
      <xdr:nvSpPr>
        <xdr:cNvPr id="8" name="TextBox 15">
          <a:extLst>
            <a:ext uri="{FF2B5EF4-FFF2-40B4-BE49-F238E27FC236}">
              <a16:creationId xmlns:a16="http://schemas.microsoft.com/office/drawing/2014/main" id="{16337382-E2DF-4335-9BD5-709929421A4C}"/>
            </a:ext>
          </a:extLst>
        </xdr:cNvPr>
        <xdr:cNvSpPr txBox="1"/>
      </xdr:nvSpPr>
      <xdr:spPr>
        <a:xfrm>
          <a:off x="10502363" y="3888974"/>
          <a:ext cx="1076345"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3</a:t>
          </a:r>
        </a:p>
        <a:p>
          <a:r>
            <a:rPr lang="en-GB" sz="1100">
              <a:latin typeface="Arial" panose="020B0604020202020204" pitchFamily="34" charset="0"/>
              <a:cs typeface="Arial" panose="020B0604020202020204" pitchFamily="34" charset="0"/>
            </a:rPr>
            <a:t>Nutrient loading from future land use</a:t>
          </a:r>
        </a:p>
      </xdr:txBody>
    </xdr:sp>
    <xdr:clientData/>
  </xdr:twoCellAnchor>
  <xdr:twoCellAnchor>
    <xdr:from>
      <xdr:col>14</xdr:col>
      <xdr:colOff>257888</xdr:colOff>
      <xdr:row>18</xdr:row>
      <xdr:rowOff>98024</xdr:rowOff>
    </xdr:from>
    <xdr:to>
      <xdr:col>16</xdr:col>
      <xdr:colOff>115033</xdr:colOff>
      <xdr:row>21</xdr:row>
      <xdr:rowOff>13575</xdr:rowOff>
    </xdr:to>
    <xdr:sp macro="" textlink="">
      <xdr:nvSpPr>
        <xdr:cNvPr id="9" name="TextBox 16">
          <a:extLst>
            <a:ext uri="{FF2B5EF4-FFF2-40B4-BE49-F238E27FC236}">
              <a16:creationId xmlns:a16="http://schemas.microsoft.com/office/drawing/2014/main" id="{FB53914C-1439-4AB8-92D7-6CA707289620}"/>
            </a:ext>
          </a:extLst>
        </xdr:cNvPr>
        <xdr:cNvSpPr txBox="1"/>
      </xdr:nvSpPr>
      <xdr:spPr>
        <a:xfrm>
          <a:off x="11706938" y="3908024"/>
          <a:ext cx="1076345" cy="57277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4</a:t>
          </a:r>
        </a:p>
        <a:p>
          <a:r>
            <a:rPr lang="en-GB" sz="1100">
              <a:latin typeface="Arial" panose="020B0604020202020204" pitchFamily="34" charset="0"/>
              <a:cs typeface="Arial" panose="020B0604020202020204" pitchFamily="34" charset="0"/>
            </a:rPr>
            <a:t>Nutrient budget calculation</a:t>
          </a:r>
        </a:p>
      </xdr:txBody>
    </xdr:sp>
    <xdr:clientData/>
  </xdr:twoCellAnchor>
  <xdr:twoCellAnchor editAs="oneCell">
    <xdr:from>
      <xdr:col>8</xdr:col>
      <xdr:colOff>76200</xdr:colOff>
      <xdr:row>13</xdr:row>
      <xdr:rowOff>76201</xdr:rowOff>
    </xdr:from>
    <xdr:to>
      <xdr:col>10</xdr:col>
      <xdr:colOff>276226</xdr:colOff>
      <xdr:row>18</xdr:row>
      <xdr:rowOff>84282</xdr:rowOff>
    </xdr:to>
    <xdr:pic>
      <xdr:nvPicPr>
        <xdr:cNvPr id="10" name="Picture 9">
          <a:hlinkClick xmlns:r="http://schemas.openxmlformats.org/officeDocument/2006/relationships" r:id="rId1"/>
          <a:extLst>
            <a:ext uri="{FF2B5EF4-FFF2-40B4-BE49-F238E27FC236}">
              <a16:creationId xmlns:a16="http://schemas.microsoft.com/office/drawing/2014/main" id="{CF9F181F-F076-4A15-9A81-9FFA380081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1000" y="2876551"/>
          <a:ext cx="1285876" cy="1017731"/>
        </a:xfrm>
        <a:prstGeom prst="rect">
          <a:avLst/>
        </a:prstGeom>
      </xdr:spPr>
    </xdr:pic>
    <xdr:clientData/>
  </xdr:twoCellAnchor>
  <xdr:twoCellAnchor editAs="oneCell">
    <xdr:from>
      <xdr:col>12</xdr:col>
      <xdr:colOff>169343</xdr:colOff>
      <xdr:row>13</xdr:row>
      <xdr:rowOff>73801</xdr:rowOff>
    </xdr:from>
    <xdr:to>
      <xdr:col>14</xdr:col>
      <xdr:colOff>242663</xdr:colOff>
      <xdr:row>18</xdr:row>
      <xdr:rowOff>88300</xdr:rowOff>
    </xdr:to>
    <xdr:pic>
      <xdr:nvPicPr>
        <xdr:cNvPr id="11" name="Picture 10">
          <a:hlinkClick xmlns:r="http://schemas.openxmlformats.org/officeDocument/2006/relationships" r:id="rId3"/>
          <a:extLst>
            <a:ext uri="{FF2B5EF4-FFF2-40B4-BE49-F238E27FC236}">
              <a16:creationId xmlns:a16="http://schemas.microsoft.com/office/drawing/2014/main" id="{E398EA38-93DD-45FF-9C31-D9A63D84641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99193" y="2874151"/>
          <a:ext cx="1292520" cy="1024149"/>
        </a:xfrm>
        <a:prstGeom prst="rect">
          <a:avLst/>
        </a:prstGeom>
      </xdr:spPr>
    </xdr:pic>
    <xdr:clientData/>
  </xdr:twoCellAnchor>
  <xdr:twoCellAnchor editAs="oneCell">
    <xdr:from>
      <xdr:col>10</xdr:col>
      <xdr:colOff>186928</xdr:colOff>
      <xdr:row>12</xdr:row>
      <xdr:rowOff>95250</xdr:rowOff>
    </xdr:from>
    <xdr:to>
      <xdr:col>12</xdr:col>
      <xdr:colOff>259313</xdr:colOff>
      <xdr:row>17</xdr:row>
      <xdr:rowOff>161939</xdr:rowOff>
    </xdr:to>
    <xdr:pic>
      <xdr:nvPicPr>
        <xdr:cNvPr id="12" name="Picture 11">
          <a:hlinkClick xmlns:r="http://schemas.openxmlformats.org/officeDocument/2006/relationships" r:id="rId5"/>
          <a:extLst>
            <a:ext uri="{FF2B5EF4-FFF2-40B4-BE49-F238E27FC236}">
              <a16:creationId xmlns:a16="http://schemas.microsoft.com/office/drawing/2014/main" id="{4A9C62A6-3D7B-4731-AAFB-011BA62AB70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197578" y="2752725"/>
          <a:ext cx="1291585" cy="1019189"/>
        </a:xfrm>
        <a:prstGeom prst="rect">
          <a:avLst/>
        </a:prstGeom>
      </xdr:spPr>
    </xdr:pic>
    <xdr:clientData/>
  </xdr:twoCellAnchor>
  <xdr:twoCellAnchor editAs="oneCell">
    <xdr:from>
      <xdr:col>14</xdr:col>
      <xdr:colOff>152818</xdr:colOff>
      <xdr:row>12</xdr:row>
      <xdr:rowOff>95250</xdr:rowOff>
    </xdr:from>
    <xdr:to>
      <xdr:col>16</xdr:col>
      <xdr:colOff>228338</xdr:colOff>
      <xdr:row>17</xdr:row>
      <xdr:rowOff>165569</xdr:rowOff>
    </xdr:to>
    <xdr:pic>
      <xdr:nvPicPr>
        <xdr:cNvPr id="13" name="Picture 12">
          <a:hlinkClick xmlns:r="http://schemas.openxmlformats.org/officeDocument/2006/relationships" r:id="rId7"/>
          <a:extLst>
            <a:ext uri="{FF2B5EF4-FFF2-40B4-BE49-F238E27FC236}">
              <a16:creationId xmlns:a16="http://schemas.microsoft.com/office/drawing/2014/main" id="{4D499E9D-14E9-4A44-9642-E04BC704D61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601868" y="2752725"/>
          <a:ext cx="1294720" cy="1022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S56/OneDrive%20-%20Ricardo%20Plc/NE%20NN/Copy%20of%20Herefordshire%20Council%20Phosphate%20Budget%20Calculator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Stage 1"/>
      <sheetName val="Stage 2"/>
      <sheetName val="Stage 3"/>
      <sheetName val="Stage 4"/>
      <sheetName val="WwTW look up"/>
      <sheetName val="Stage 2 and 3 lookups"/>
      <sheetName val="WwTW Catchment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mapapps2.bgs.ac.uk/ukso/home.html?layers=NVZEng" TargetMode="External"/><Relationship Id="rId2" Type="http://schemas.openxmlformats.org/officeDocument/2006/relationships/hyperlink" Target="http://www.landis.org.uk/soilscapes/" TargetMode="External"/><Relationship Id="rId1" Type="http://schemas.openxmlformats.org/officeDocument/2006/relationships/hyperlink" Target="http://environment.data.gov.uk/catchment-planning/" TargetMode="External"/><Relationship Id="rId6" Type="http://schemas.openxmlformats.org/officeDocument/2006/relationships/drawing" Target="../drawings/drawing4.xml"/><Relationship Id="rId5" Type="http://schemas.openxmlformats.org/officeDocument/2006/relationships/printerSettings" Target="../printerSettings/printerSettings3.bin"/><Relationship Id="rId4" Type="http://schemas.openxmlformats.org/officeDocument/2006/relationships/hyperlink" Target="https://nrfa.ceh.ac.uk/data/station/spatial/4201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288EF-98C6-448F-AC74-23005D297FD1}">
  <dimension ref="M5:Y12"/>
  <sheetViews>
    <sheetView showGridLines="0" showRowColHeaders="0" tabSelected="1" zoomScaleNormal="100" workbookViewId="0">
      <selection activeCell="F15" sqref="F15"/>
    </sheetView>
  </sheetViews>
  <sheetFormatPr defaultColWidth="5.7109375" defaultRowHeight="28.5" customHeight="1" x14ac:dyDescent="0.25"/>
  <cols>
    <col min="1" max="12" width="5.7109375" style="2"/>
    <col min="13" max="13" width="30.28515625" style="2" bestFit="1" customWidth="1"/>
    <col min="14" max="14" width="5.7109375" style="2"/>
    <col min="15" max="15" width="4.5703125" style="2" customWidth="1"/>
    <col min="16" max="20" width="5.7109375" style="2"/>
    <col min="21" max="21" width="5.7109375" style="2" customWidth="1"/>
    <col min="22" max="16384" width="5.7109375" style="2"/>
  </cols>
  <sheetData>
    <row r="5" spans="13:25" ht="28.5" customHeight="1" x14ac:dyDescent="0.25">
      <c r="Y5"/>
    </row>
    <row r="11" spans="13:25" ht="18" customHeight="1" x14ac:dyDescent="0.25"/>
    <row r="12" spans="13:25" ht="45.75" x14ac:dyDescent="0.25">
      <c r="M12" s="95" t="s">
        <v>0</v>
      </c>
    </row>
  </sheetData>
  <sheetProtection algorithmName="SHA-512" hashValue="2+oddgspMCKZQW9LL9QfGv2DoTgmO7UtJdJC9SUaTVGko9MIYjsh2MIb4EQKWOcTVhnt34pjvJF90fNfuFjNPw==" saltValue="VkP4aeLqiYtxeOOY8IUR/Q==" spinCount="100000" sheet="1" objects="1" scenarios="1"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546A1-C6EE-4AA8-8A3A-C1EBF31A9FD9}">
  <dimension ref="B6:K33"/>
  <sheetViews>
    <sheetView topLeftCell="A10" workbookViewId="0">
      <selection activeCell="C16" sqref="C16"/>
    </sheetView>
  </sheetViews>
  <sheetFormatPr defaultColWidth="9.140625" defaultRowHeight="15" x14ac:dyDescent="0.25"/>
  <cols>
    <col min="1" max="1" width="9.140625" style="1"/>
    <col min="2" max="2" width="27.85546875" style="1" customWidth="1"/>
    <col min="3" max="3" width="26.85546875" style="1" customWidth="1"/>
    <col min="4" max="4" width="9.140625" style="1"/>
    <col min="5" max="5" width="15" style="1" customWidth="1"/>
    <col min="6" max="6" width="12.5703125" style="1" customWidth="1"/>
    <col min="7" max="9" width="9.140625" style="1"/>
    <col min="10" max="10" width="7.140625" style="1" customWidth="1"/>
    <col min="11" max="16384" width="9.140625" style="1"/>
  </cols>
  <sheetData>
    <row r="6" spans="2:11" ht="17.25" x14ac:dyDescent="0.25">
      <c r="K6" s="6"/>
    </row>
    <row r="7" spans="2:11" ht="18" customHeight="1" x14ac:dyDescent="0.35">
      <c r="F7" s="4"/>
      <c r="G7" s="5"/>
      <c r="H7" s="5"/>
      <c r="I7" s="4"/>
      <c r="K7" s="7"/>
    </row>
    <row r="8" spans="2:11" ht="12" customHeight="1" x14ac:dyDescent="0.35">
      <c r="F8" s="3"/>
      <c r="G8" s="3"/>
      <c r="H8" s="3"/>
      <c r="I8" s="9"/>
      <c r="K8" s="7"/>
    </row>
    <row r="9" spans="2:11" ht="18" thickBot="1" x14ac:dyDescent="0.4">
      <c r="B9" s="14" t="s">
        <v>131</v>
      </c>
      <c r="D9" s="21"/>
      <c r="E9" s="277" t="s">
        <v>132</v>
      </c>
      <c r="G9" s="3"/>
      <c r="H9" s="3"/>
      <c r="I9" s="9"/>
      <c r="K9" s="7"/>
    </row>
    <row r="10" spans="2:11" ht="21" customHeight="1" thickTop="1" thickBot="1" x14ac:dyDescent="0.4">
      <c r="B10" s="15" t="s">
        <v>133</v>
      </c>
      <c r="D10" s="23"/>
      <c r="E10" s="277"/>
      <c r="G10" s="3"/>
      <c r="H10" s="3" t="s">
        <v>134</v>
      </c>
      <c r="I10" s="9"/>
      <c r="J10" s="6"/>
      <c r="K10" s="8"/>
    </row>
    <row r="11" spans="2:11" ht="18.75" thickTop="1" thickBot="1" x14ac:dyDescent="0.3">
      <c r="B11" s="16" t="s">
        <v>135</v>
      </c>
      <c r="D11" s="24"/>
      <c r="E11" s="277"/>
      <c r="G11" s="7"/>
      <c r="H11" s="7" t="e">
        <f>IF(C33&lt;0,"Well done, you're in the clear…,""")</f>
        <v>#VALUE!</v>
      </c>
      <c r="I11" s="7"/>
      <c r="J11" s="7"/>
      <c r="K11" s="8"/>
    </row>
    <row r="12" spans="2:11" ht="29.25" customHeight="1" thickTop="1" x14ac:dyDescent="0.25">
      <c r="B12" s="17" t="s">
        <v>136</v>
      </c>
      <c r="D12" s="25"/>
      <c r="E12" s="277"/>
      <c r="G12" s="8"/>
      <c r="H12" s="8" t="s">
        <v>137</v>
      </c>
      <c r="I12" s="8"/>
      <c r="J12" s="8"/>
    </row>
    <row r="13" spans="2:11" ht="11.25" customHeight="1" x14ac:dyDescent="0.25">
      <c r="B13" s="21"/>
      <c r="C13" s="21"/>
      <c r="D13" s="21"/>
      <c r="E13" s="21"/>
      <c r="F13" s="49"/>
    </row>
    <row r="14" spans="2:11" x14ac:dyDescent="0.25">
      <c r="B14" s="21"/>
      <c r="C14" s="21"/>
      <c r="D14" s="21"/>
      <c r="E14" s="21"/>
      <c r="F14" s="49"/>
    </row>
    <row r="15" spans="2:11" ht="15.75" thickBot="1" x14ac:dyDescent="0.3">
      <c r="B15" s="14" t="s">
        <v>125</v>
      </c>
      <c r="C15" s="46" t="str">
        <f>'Stage 1'!D35</f>
        <v/>
      </c>
      <c r="D15" s="21"/>
      <c r="E15" s="277" t="s">
        <v>138</v>
      </c>
    </row>
    <row r="16" spans="2:11" ht="16.5" thickTop="1" thickBot="1" x14ac:dyDescent="0.3">
      <c r="B16" s="15" t="s">
        <v>126</v>
      </c>
      <c r="C16" s="22">
        <f>'Stage 3'!E27-'Stage 2'!E32</f>
        <v>0</v>
      </c>
      <c r="D16" s="21"/>
      <c r="E16" s="277"/>
    </row>
    <row r="17" spans="2:6" ht="16.5" thickTop="1" thickBot="1" x14ac:dyDescent="0.3">
      <c r="B17" s="16" t="s">
        <v>127</v>
      </c>
      <c r="C17" s="47" t="e">
        <f>C15+C16</f>
        <v>#VALUE!</v>
      </c>
      <c r="D17" s="18"/>
      <c r="E17" s="277"/>
    </row>
    <row r="18" spans="2:6" ht="15.75" thickTop="1" x14ac:dyDescent="0.25">
      <c r="B18" s="17" t="s">
        <v>128</v>
      </c>
      <c r="C18" s="48" t="e">
        <f>C17*1.2</f>
        <v>#VALUE!</v>
      </c>
      <c r="D18" s="18"/>
      <c r="E18" s="277"/>
    </row>
    <row r="19" spans="2:6" ht="17.25" x14ac:dyDescent="0.25">
      <c r="B19" s="9"/>
      <c r="C19" s="11"/>
      <c r="D19" s="12"/>
    </row>
    <row r="20" spans="2:6" ht="17.25" x14ac:dyDescent="0.25">
      <c r="B20" s="9"/>
      <c r="C20" s="11"/>
      <c r="D20" s="12"/>
    </row>
    <row r="21" spans="2:6" ht="17.25" x14ac:dyDescent="0.25">
      <c r="B21" s="9"/>
      <c r="C21" s="12"/>
      <c r="D21" s="12"/>
    </row>
    <row r="22" spans="2:6" ht="17.25" x14ac:dyDescent="0.25">
      <c r="B22" s="10"/>
      <c r="C22" s="13"/>
      <c r="D22" s="13"/>
    </row>
    <row r="24" spans="2:6" ht="15.75" thickBot="1" x14ac:dyDescent="0.3">
      <c r="C24" s="46" t="str">
        <f>'Stage 1'!D30</f>
        <v/>
      </c>
      <c r="F24" s="279" t="e">
        <f>C33</f>
        <v>#VALUE!</v>
      </c>
    </row>
    <row r="25" spans="2:6" ht="15.75" thickTop="1" x14ac:dyDescent="0.25">
      <c r="F25" s="279"/>
    </row>
    <row r="26" spans="2:6" x14ac:dyDescent="0.25">
      <c r="F26" s="279"/>
    </row>
    <row r="27" spans="2:6" ht="15.75" thickBot="1" x14ac:dyDescent="0.3">
      <c r="C27" s="22" t="e">
        <f>'Stage 3'!#REF!-'Stage 2'!#REF!</f>
        <v>#REF!</v>
      </c>
      <c r="F27" s="279"/>
    </row>
    <row r="28" spans="2:6" ht="15.75" thickTop="1" x14ac:dyDescent="0.25"/>
    <row r="29" spans="2:6" ht="15.75" thickBot="1" x14ac:dyDescent="0.3">
      <c r="F29" s="279" t="e">
        <f>C18</f>
        <v>#VALUE!</v>
      </c>
    </row>
    <row r="30" spans="2:6" ht="16.5" thickTop="1" thickBot="1" x14ac:dyDescent="0.3">
      <c r="C30" s="47" t="e">
        <f>C24+C27</f>
        <v>#VALUE!</v>
      </c>
      <c r="F30" s="279"/>
    </row>
    <row r="31" spans="2:6" ht="15.75" thickTop="1" x14ac:dyDescent="0.25">
      <c r="F31" s="279"/>
    </row>
    <row r="32" spans="2:6" ht="15.75" thickBot="1" x14ac:dyDescent="0.3">
      <c r="F32" s="279"/>
    </row>
    <row r="33" spans="3:3" ht="15.75" thickTop="1" x14ac:dyDescent="0.25">
      <c r="C33" s="48" t="e">
        <f>C30*1.2</f>
        <v>#VALUE!</v>
      </c>
    </row>
  </sheetData>
  <mergeCells count="4">
    <mergeCell ref="E9:E12"/>
    <mergeCell ref="F24:F27"/>
    <mergeCell ref="E15:E18"/>
    <mergeCell ref="F29:F3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07F3CA5-F800-43D1-83B8-FCADDD9BAC80}">
          <x14:formula1>
            <xm:f>'C:\Users\DS56\OneDrive - Ricardo Plc\NE NN\[Copy of Herefordshire Council Phosphate Budget Calculator_Final.xlsx]Stage 2 and 3 lookups'!#REF!</xm:f>
          </x14:formula1>
          <xm:sqref>I8:I10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A7AF-3E94-4ACD-8BCA-F732777F79B7}">
  <dimension ref="B1:P691"/>
  <sheetViews>
    <sheetView showRowColHeaders="0" zoomScaleNormal="100" workbookViewId="0">
      <selection activeCell="D20" sqref="D20"/>
    </sheetView>
  </sheetViews>
  <sheetFormatPr defaultColWidth="9.140625" defaultRowHeight="14.25" x14ac:dyDescent="0.2"/>
  <cols>
    <col min="1" max="1" width="9.140625" style="29"/>
    <col min="2" max="2" width="4.85546875" style="29" customWidth="1"/>
    <col min="3" max="3" width="44.42578125" style="29" bestFit="1" customWidth="1"/>
    <col min="4" max="4" width="38" style="29" bestFit="1" customWidth="1"/>
    <col min="5" max="5" width="34" style="29" customWidth="1"/>
    <col min="6" max="6" width="31.5703125" style="29" customWidth="1"/>
    <col min="7" max="7" width="41.85546875" style="29" customWidth="1"/>
    <col min="8" max="8" width="63.85546875" style="29" customWidth="1"/>
    <col min="9" max="9" width="46.5703125" style="29" customWidth="1"/>
    <col min="10" max="10" width="39.85546875" style="29" customWidth="1"/>
    <col min="11" max="11" width="36.85546875" style="29" customWidth="1"/>
    <col min="12" max="12" width="38.140625" style="29" customWidth="1"/>
    <col min="13" max="15" width="28" style="29" customWidth="1"/>
    <col min="16" max="16" width="9" style="29" customWidth="1"/>
    <col min="17" max="16384" width="9.140625" style="29"/>
  </cols>
  <sheetData>
    <row r="1" spans="2:16" ht="35.25" customHeight="1" thickBot="1" x14ac:dyDescent="0.25"/>
    <row r="2" spans="2:16" ht="15" thickTop="1" x14ac:dyDescent="0.2">
      <c r="B2" s="280" t="s">
        <v>139</v>
      </c>
      <c r="C2" s="281"/>
      <c r="D2" s="281"/>
      <c r="E2" s="281"/>
      <c r="F2" s="281"/>
      <c r="G2" s="281"/>
      <c r="H2" s="281"/>
      <c r="I2" s="281"/>
      <c r="J2" s="281"/>
      <c r="K2" s="281"/>
      <c r="L2" s="281"/>
      <c r="M2" s="281"/>
      <c r="N2" s="281"/>
      <c r="O2" s="281"/>
      <c r="P2" s="282"/>
    </row>
    <row r="3" spans="2:16" x14ac:dyDescent="0.2">
      <c r="B3" s="283"/>
      <c r="C3" s="284"/>
      <c r="D3" s="284"/>
      <c r="E3" s="284"/>
      <c r="F3" s="284"/>
      <c r="G3" s="284"/>
      <c r="H3" s="284"/>
      <c r="I3" s="284"/>
      <c r="J3" s="284"/>
      <c r="K3" s="284"/>
      <c r="L3" s="284"/>
      <c r="M3" s="284"/>
      <c r="N3" s="284"/>
      <c r="O3" s="284"/>
      <c r="P3" s="285"/>
    </row>
    <row r="4" spans="2:16" x14ac:dyDescent="0.2">
      <c r="B4" s="283"/>
      <c r="C4" s="284"/>
      <c r="D4" s="284"/>
      <c r="E4" s="284"/>
      <c r="F4" s="284"/>
      <c r="G4" s="284"/>
      <c r="H4" s="284"/>
      <c r="I4" s="284"/>
      <c r="J4" s="284"/>
      <c r="K4" s="284"/>
      <c r="L4" s="284"/>
      <c r="M4" s="284"/>
      <c r="N4" s="284"/>
      <c r="O4" s="284"/>
      <c r="P4" s="285"/>
    </row>
    <row r="5" spans="2:16" x14ac:dyDescent="0.2">
      <c r="B5" s="123"/>
      <c r="C5" s="21"/>
      <c r="D5" s="21"/>
      <c r="E5" s="21"/>
      <c r="F5" s="21"/>
      <c r="G5" s="21"/>
      <c r="H5" s="21"/>
      <c r="I5" s="21"/>
      <c r="J5" s="21"/>
      <c r="K5" s="21"/>
      <c r="L5" s="21"/>
      <c r="M5" s="21"/>
      <c r="N5" s="21"/>
      <c r="O5" s="21"/>
      <c r="P5" s="124"/>
    </row>
    <row r="6" spans="2:16" x14ac:dyDescent="0.2">
      <c r="B6" s="123"/>
      <c r="C6" s="21" t="s">
        <v>140</v>
      </c>
      <c r="D6" s="21"/>
      <c r="E6" s="21"/>
      <c r="F6" s="21"/>
      <c r="G6" s="21"/>
      <c r="H6" s="21"/>
      <c r="I6" s="21"/>
      <c r="J6" s="21"/>
      <c r="K6" s="21"/>
      <c r="L6" s="21"/>
      <c r="M6" s="21"/>
      <c r="N6" s="21"/>
      <c r="O6" s="21"/>
      <c r="P6" s="124"/>
    </row>
    <row r="7" spans="2:16" ht="60.75" thickBot="1" x14ac:dyDescent="0.25">
      <c r="B7" s="123"/>
      <c r="C7" s="32" t="s">
        <v>141</v>
      </c>
      <c r="D7" s="42" t="s">
        <v>329</v>
      </c>
      <c r="E7" s="42" t="s">
        <v>142</v>
      </c>
      <c r="F7" s="42" t="s">
        <v>328</v>
      </c>
      <c r="G7" s="121" t="s">
        <v>143</v>
      </c>
      <c r="H7" s="26"/>
      <c r="I7" s="26"/>
      <c r="J7" s="26"/>
      <c r="K7" s="26"/>
      <c r="L7" s="26"/>
      <c r="M7" s="26"/>
      <c r="N7" s="26"/>
      <c r="O7" s="26"/>
      <c r="P7" s="124"/>
    </row>
    <row r="8" spans="2:16" ht="15" thickTop="1" x14ac:dyDescent="0.2">
      <c r="B8" s="123"/>
      <c r="C8" s="171" t="s">
        <v>144</v>
      </c>
      <c r="D8" s="189">
        <v>25</v>
      </c>
      <c r="E8" s="189">
        <f>D8+2</f>
        <v>27</v>
      </c>
      <c r="F8" s="214">
        <v>25</v>
      </c>
      <c r="G8" s="190">
        <v>27</v>
      </c>
      <c r="H8" s="26"/>
      <c r="I8" s="26"/>
      <c r="J8" s="26"/>
      <c r="K8" s="26"/>
      <c r="L8" s="26"/>
      <c r="M8" s="26"/>
      <c r="N8" s="26"/>
      <c r="O8" s="26"/>
      <c r="P8" s="124"/>
    </row>
    <row r="9" spans="2:16" x14ac:dyDescent="0.2">
      <c r="B9" s="123"/>
      <c r="C9" s="171" t="s">
        <v>339</v>
      </c>
      <c r="D9" s="189">
        <v>25</v>
      </c>
      <c r="E9" s="189">
        <f>D9+2</f>
        <v>27</v>
      </c>
      <c r="F9" s="188">
        <v>25</v>
      </c>
      <c r="G9" s="190">
        <v>27</v>
      </c>
      <c r="H9" s="26"/>
      <c r="I9" s="26"/>
      <c r="J9" s="26"/>
      <c r="K9" s="26"/>
      <c r="L9" s="26"/>
      <c r="M9" s="26"/>
      <c r="N9" s="26"/>
      <c r="O9" s="26"/>
      <c r="P9" s="124"/>
    </row>
    <row r="10" spans="2:16" x14ac:dyDescent="0.2">
      <c r="B10" s="123"/>
      <c r="C10" s="171" t="s">
        <v>145</v>
      </c>
      <c r="D10" s="189">
        <v>25</v>
      </c>
      <c r="E10" s="189">
        <f t="shared" ref="E10:E79" si="0">D10+2</f>
        <v>27</v>
      </c>
      <c r="F10" s="188">
        <v>25</v>
      </c>
      <c r="G10" s="190">
        <f t="shared" ref="G10:G79" si="1">F10+2</f>
        <v>27</v>
      </c>
      <c r="H10" s="26"/>
      <c r="I10" s="26"/>
      <c r="J10" s="26"/>
      <c r="K10" s="26"/>
      <c r="L10" s="26"/>
      <c r="M10" s="26"/>
      <c r="N10" s="26"/>
      <c r="O10" s="26"/>
      <c r="P10" s="124"/>
    </row>
    <row r="11" spans="2:16" x14ac:dyDescent="0.2">
      <c r="B11" s="123"/>
      <c r="C11" s="171" t="s">
        <v>146</v>
      </c>
      <c r="D11" s="189">
        <v>25</v>
      </c>
      <c r="E11" s="189">
        <f t="shared" si="0"/>
        <v>27</v>
      </c>
      <c r="F11" s="188">
        <v>25</v>
      </c>
      <c r="G11" s="190">
        <f t="shared" si="1"/>
        <v>27</v>
      </c>
      <c r="H11" s="26"/>
      <c r="I11" s="26"/>
      <c r="J11" s="26"/>
      <c r="K11" s="26"/>
      <c r="L11" s="26"/>
      <c r="M11" s="26"/>
      <c r="N11" s="26"/>
      <c r="O11" s="26"/>
      <c r="P11" s="124"/>
    </row>
    <row r="12" spans="2:16" x14ac:dyDescent="0.2">
      <c r="B12" s="123"/>
      <c r="C12" s="171" t="s">
        <v>147</v>
      </c>
      <c r="D12" s="189">
        <v>25</v>
      </c>
      <c r="E12" s="189">
        <f t="shared" si="0"/>
        <v>27</v>
      </c>
      <c r="F12" s="188">
        <v>25</v>
      </c>
      <c r="G12" s="190">
        <f t="shared" si="1"/>
        <v>27</v>
      </c>
      <c r="H12" s="26"/>
      <c r="I12" s="26"/>
      <c r="J12" s="26"/>
      <c r="K12" s="26"/>
      <c r="L12" s="26"/>
      <c r="M12" s="26"/>
      <c r="N12" s="26"/>
      <c r="O12" s="26"/>
      <c r="P12" s="124"/>
    </row>
    <row r="13" spans="2:16" x14ac:dyDescent="0.2">
      <c r="B13" s="123"/>
      <c r="C13" s="171" t="s">
        <v>148</v>
      </c>
      <c r="D13" s="189">
        <v>25</v>
      </c>
      <c r="E13" s="189">
        <f t="shared" si="0"/>
        <v>27</v>
      </c>
      <c r="F13" s="188">
        <v>25</v>
      </c>
      <c r="G13" s="190">
        <f t="shared" si="1"/>
        <v>27</v>
      </c>
      <c r="H13" s="26"/>
      <c r="I13" s="26"/>
      <c r="J13" s="26"/>
      <c r="K13" s="26"/>
      <c r="L13" s="26"/>
      <c r="M13" s="26"/>
      <c r="N13" s="26"/>
      <c r="O13" s="26"/>
      <c r="P13" s="124"/>
    </row>
    <row r="14" spans="2:16" x14ac:dyDescent="0.2">
      <c r="B14" s="123"/>
      <c r="C14" s="171" t="s">
        <v>149</v>
      </c>
      <c r="D14" s="189">
        <v>25</v>
      </c>
      <c r="E14" s="189">
        <f t="shared" si="0"/>
        <v>27</v>
      </c>
      <c r="F14" s="188">
        <v>25</v>
      </c>
      <c r="G14" s="190">
        <f t="shared" si="1"/>
        <v>27</v>
      </c>
      <c r="H14" s="26"/>
      <c r="I14" s="26"/>
      <c r="J14" s="26"/>
      <c r="K14" s="26"/>
      <c r="L14" s="26"/>
      <c r="M14" s="26"/>
      <c r="N14" s="26"/>
      <c r="O14" s="26"/>
      <c r="P14" s="124"/>
    </row>
    <row r="15" spans="2:16" x14ac:dyDescent="0.2">
      <c r="B15" s="123"/>
      <c r="C15" s="179" t="s">
        <v>150</v>
      </c>
      <c r="D15" s="188">
        <v>13</v>
      </c>
      <c r="E15" s="189">
        <f t="shared" si="0"/>
        <v>15</v>
      </c>
      <c r="F15" s="188">
        <v>13</v>
      </c>
      <c r="G15" s="190">
        <f t="shared" si="1"/>
        <v>15</v>
      </c>
      <c r="H15" s="26"/>
      <c r="I15" s="26"/>
      <c r="J15" s="26"/>
      <c r="K15" s="26"/>
      <c r="L15" s="26"/>
      <c r="M15" s="26"/>
      <c r="N15" s="26"/>
      <c r="O15" s="26"/>
      <c r="P15" s="124"/>
    </row>
    <row r="16" spans="2:16" x14ac:dyDescent="0.2">
      <c r="B16" s="123"/>
      <c r="C16" s="179" t="s">
        <v>151</v>
      </c>
      <c r="D16" s="188">
        <v>25</v>
      </c>
      <c r="E16" s="189">
        <f t="shared" si="0"/>
        <v>27</v>
      </c>
      <c r="F16" s="188">
        <v>25</v>
      </c>
      <c r="G16" s="190">
        <f t="shared" si="1"/>
        <v>27</v>
      </c>
      <c r="H16" s="26"/>
      <c r="I16" s="26"/>
      <c r="J16" s="26"/>
      <c r="K16" s="26"/>
      <c r="L16" s="26"/>
      <c r="M16" s="26"/>
      <c r="N16" s="26"/>
      <c r="O16" s="26"/>
      <c r="P16" s="124"/>
    </row>
    <row r="17" spans="2:16" x14ac:dyDescent="0.2">
      <c r="B17" s="123"/>
      <c r="C17" s="179" t="s">
        <v>152</v>
      </c>
      <c r="D17" s="188">
        <v>25</v>
      </c>
      <c r="E17" s="189">
        <f t="shared" si="0"/>
        <v>27</v>
      </c>
      <c r="F17" s="188">
        <v>25</v>
      </c>
      <c r="G17" s="190">
        <f t="shared" si="1"/>
        <v>27</v>
      </c>
      <c r="H17" s="26"/>
      <c r="I17" s="26"/>
      <c r="J17" s="26"/>
      <c r="K17" s="26"/>
      <c r="L17" s="26"/>
      <c r="M17" s="26"/>
      <c r="N17" s="26"/>
      <c r="O17" s="26"/>
      <c r="P17" s="124"/>
    </row>
    <row r="18" spans="2:16" x14ac:dyDescent="0.2">
      <c r="B18" s="123"/>
      <c r="C18" s="179" t="s">
        <v>153</v>
      </c>
      <c r="D18" s="188">
        <v>8</v>
      </c>
      <c r="E18" s="189">
        <f t="shared" si="0"/>
        <v>10</v>
      </c>
      <c r="F18" s="188">
        <v>8</v>
      </c>
      <c r="G18" s="190">
        <f t="shared" si="1"/>
        <v>10</v>
      </c>
      <c r="H18" s="26"/>
      <c r="I18" s="26"/>
      <c r="J18" s="26"/>
      <c r="K18" s="26"/>
      <c r="L18" s="26"/>
      <c r="M18" s="26"/>
      <c r="N18" s="26"/>
      <c r="O18" s="26"/>
      <c r="P18" s="124"/>
    </row>
    <row r="19" spans="2:16" x14ac:dyDescent="0.2">
      <c r="B19" s="123"/>
      <c r="C19" s="179" t="s">
        <v>154</v>
      </c>
      <c r="D19" s="188">
        <v>25</v>
      </c>
      <c r="E19" s="189">
        <f t="shared" si="0"/>
        <v>27</v>
      </c>
      <c r="F19" s="188">
        <v>25</v>
      </c>
      <c r="G19" s="190">
        <f t="shared" si="1"/>
        <v>27</v>
      </c>
      <c r="H19" s="26"/>
      <c r="I19" s="26"/>
      <c r="J19" s="26"/>
      <c r="K19" s="26"/>
      <c r="L19" s="26"/>
      <c r="M19" s="26"/>
      <c r="N19" s="26"/>
      <c r="O19" s="26"/>
      <c r="P19" s="124"/>
    </row>
    <row r="20" spans="2:16" x14ac:dyDescent="0.2">
      <c r="B20" s="123"/>
      <c r="C20" s="179" t="s">
        <v>155</v>
      </c>
      <c r="D20" s="188">
        <v>7.7</v>
      </c>
      <c r="E20" s="189">
        <f t="shared" si="0"/>
        <v>9.6999999999999993</v>
      </c>
      <c r="F20" s="188">
        <v>7.7</v>
      </c>
      <c r="G20" s="190">
        <f t="shared" si="1"/>
        <v>9.6999999999999993</v>
      </c>
      <c r="H20" s="26"/>
      <c r="I20" s="26"/>
      <c r="J20" s="26"/>
      <c r="K20" s="26"/>
      <c r="L20" s="26"/>
      <c r="M20" s="26"/>
      <c r="N20" s="26"/>
      <c r="O20" s="26"/>
      <c r="P20" s="124"/>
    </row>
    <row r="21" spans="2:16" x14ac:dyDescent="0.2">
      <c r="B21" s="123"/>
      <c r="C21" s="179" t="s">
        <v>156</v>
      </c>
      <c r="D21" s="188">
        <v>25</v>
      </c>
      <c r="E21" s="189">
        <f t="shared" si="0"/>
        <v>27</v>
      </c>
      <c r="F21" s="188">
        <v>25</v>
      </c>
      <c r="G21" s="190">
        <f t="shared" si="1"/>
        <v>27</v>
      </c>
      <c r="H21" s="26"/>
      <c r="I21" s="26"/>
      <c r="J21" s="26"/>
      <c r="K21" s="26"/>
      <c r="L21" s="26"/>
      <c r="M21" s="26"/>
      <c r="N21" s="26"/>
      <c r="O21" s="26"/>
      <c r="P21" s="124"/>
    </row>
    <row r="22" spans="2:16" x14ac:dyDescent="0.2">
      <c r="B22" s="123"/>
      <c r="C22" s="179" t="s">
        <v>157</v>
      </c>
      <c r="D22" s="188">
        <v>25</v>
      </c>
      <c r="E22" s="189">
        <f t="shared" si="0"/>
        <v>27</v>
      </c>
      <c r="F22" s="188">
        <v>25</v>
      </c>
      <c r="G22" s="190">
        <f t="shared" si="1"/>
        <v>27</v>
      </c>
      <c r="H22" s="26"/>
      <c r="I22" s="26"/>
      <c r="J22" s="26"/>
      <c r="K22" s="26"/>
      <c r="L22" s="26"/>
      <c r="M22" s="26"/>
      <c r="N22" s="26"/>
      <c r="O22" s="26"/>
      <c r="P22" s="124"/>
    </row>
    <row r="23" spans="2:16" x14ac:dyDescent="0.2">
      <c r="B23" s="123"/>
      <c r="C23" s="179" t="s">
        <v>158</v>
      </c>
      <c r="D23" s="188">
        <v>25</v>
      </c>
      <c r="E23" s="189">
        <f t="shared" si="0"/>
        <v>27</v>
      </c>
      <c r="F23" s="188">
        <v>25</v>
      </c>
      <c r="G23" s="190">
        <f t="shared" si="1"/>
        <v>27</v>
      </c>
      <c r="H23" s="26"/>
      <c r="I23" s="26"/>
      <c r="J23" s="26"/>
      <c r="K23" s="26"/>
      <c r="L23" s="26"/>
      <c r="M23" s="26"/>
      <c r="N23" s="26"/>
      <c r="O23" s="26"/>
      <c r="P23" s="124"/>
    </row>
    <row r="24" spans="2:16" x14ac:dyDescent="0.2">
      <c r="B24" s="123"/>
      <c r="C24" s="179" t="s">
        <v>159</v>
      </c>
      <c r="D24" s="188">
        <v>7</v>
      </c>
      <c r="E24" s="189">
        <f t="shared" si="0"/>
        <v>9</v>
      </c>
      <c r="F24" s="188">
        <v>7</v>
      </c>
      <c r="G24" s="215">
        <f t="shared" si="1"/>
        <v>9</v>
      </c>
      <c r="H24" s="26"/>
      <c r="I24" s="26"/>
      <c r="J24" s="26"/>
      <c r="K24" s="26"/>
      <c r="L24" s="26"/>
      <c r="M24" s="26"/>
      <c r="N24" s="26"/>
      <c r="O24" s="26"/>
      <c r="P24" s="124"/>
    </row>
    <row r="25" spans="2:16" x14ac:dyDescent="0.2">
      <c r="B25" s="123"/>
      <c r="C25" s="179" t="s">
        <v>160</v>
      </c>
      <c r="D25" s="188">
        <v>25</v>
      </c>
      <c r="E25" s="189">
        <f t="shared" si="0"/>
        <v>27</v>
      </c>
      <c r="F25" s="188">
        <v>25</v>
      </c>
      <c r="G25" s="215">
        <f t="shared" si="1"/>
        <v>27</v>
      </c>
      <c r="H25" s="26"/>
      <c r="I25" s="26"/>
      <c r="J25" s="26"/>
      <c r="K25" s="26"/>
      <c r="L25" s="26"/>
      <c r="M25" s="26"/>
      <c r="N25" s="26"/>
      <c r="O25" s="26"/>
      <c r="P25" s="124"/>
    </row>
    <row r="26" spans="2:16" x14ac:dyDescent="0.2">
      <c r="B26" s="123"/>
      <c r="C26" s="179" t="s">
        <v>161</v>
      </c>
      <c r="D26" s="188">
        <v>25</v>
      </c>
      <c r="E26" s="189">
        <f t="shared" si="0"/>
        <v>27</v>
      </c>
      <c r="F26" s="188">
        <v>25</v>
      </c>
      <c r="G26" s="190">
        <f t="shared" si="1"/>
        <v>27</v>
      </c>
      <c r="H26" s="26"/>
      <c r="I26" s="26"/>
      <c r="J26" s="26"/>
      <c r="K26" s="26"/>
      <c r="L26" s="26"/>
      <c r="M26" s="26"/>
      <c r="N26" s="26"/>
      <c r="O26" s="26"/>
      <c r="P26" s="124"/>
    </row>
    <row r="27" spans="2:16" x14ac:dyDescent="0.2">
      <c r="B27" s="123"/>
      <c r="C27" s="179" t="s">
        <v>162</v>
      </c>
      <c r="D27" s="188">
        <v>25</v>
      </c>
      <c r="E27" s="189">
        <f t="shared" si="0"/>
        <v>27</v>
      </c>
      <c r="F27" s="188">
        <v>25</v>
      </c>
      <c r="G27" s="190">
        <f t="shared" si="1"/>
        <v>27</v>
      </c>
      <c r="H27" s="26"/>
      <c r="I27" s="26"/>
      <c r="J27" s="26"/>
      <c r="K27" s="26"/>
      <c r="L27" s="26"/>
      <c r="M27" s="26"/>
      <c r="N27" s="26"/>
      <c r="O27" s="26"/>
      <c r="P27" s="124"/>
    </row>
    <row r="28" spans="2:16" x14ac:dyDescent="0.2">
      <c r="B28" s="123"/>
      <c r="C28" s="179" t="s">
        <v>163</v>
      </c>
      <c r="D28" s="188">
        <v>25</v>
      </c>
      <c r="E28" s="189">
        <f t="shared" si="0"/>
        <v>27</v>
      </c>
      <c r="F28" s="188">
        <v>25</v>
      </c>
      <c r="G28" s="190">
        <f t="shared" si="1"/>
        <v>27</v>
      </c>
      <c r="H28" s="26"/>
      <c r="I28" s="26"/>
      <c r="J28" s="26"/>
      <c r="K28" s="26"/>
      <c r="L28" s="26"/>
      <c r="M28" s="26"/>
      <c r="N28" s="26"/>
      <c r="O28" s="26"/>
      <c r="P28" s="124"/>
    </row>
    <row r="29" spans="2:16" x14ac:dyDescent="0.2">
      <c r="B29" s="123"/>
      <c r="C29" s="179" t="s">
        <v>164</v>
      </c>
      <c r="D29" s="188">
        <v>25</v>
      </c>
      <c r="E29" s="189">
        <f t="shared" si="0"/>
        <v>27</v>
      </c>
      <c r="F29" s="188">
        <v>25</v>
      </c>
      <c r="G29" s="190">
        <f t="shared" si="1"/>
        <v>27</v>
      </c>
      <c r="H29" s="26"/>
      <c r="I29" s="26"/>
      <c r="J29" s="26"/>
      <c r="K29" s="26"/>
      <c r="L29" s="26"/>
      <c r="M29" s="26"/>
      <c r="N29" s="26"/>
      <c r="O29" s="26"/>
      <c r="P29" s="124"/>
    </row>
    <row r="30" spans="2:16" x14ac:dyDescent="0.2">
      <c r="B30" s="123"/>
      <c r="C30" s="179" t="s">
        <v>165</v>
      </c>
      <c r="D30" s="188">
        <v>25</v>
      </c>
      <c r="E30" s="189">
        <f t="shared" si="0"/>
        <v>27</v>
      </c>
      <c r="F30" s="188">
        <v>25</v>
      </c>
      <c r="G30" s="190">
        <f t="shared" si="1"/>
        <v>27</v>
      </c>
      <c r="H30" s="26"/>
      <c r="I30" s="26"/>
      <c r="J30" s="26"/>
      <c r="K30" s="26"/>
      <c r="L30" s="26"/>
      <c r="M30" s="26"/>
      <c r="N30" s="26"/>
      <c r="O30" s="26"/>
      <c r="P30" s="124"/>
    </row>
    <row r="31" spans="2:16" x14ac:dyDescent="0.2">
      <c r="B31" s="123"/>
      <c r="C31" s="179" t="s">
        <v>166</v>
      </c>
      <c r="D31" s="188">
        <v>25</v>
      </c>
      <c r="E31" s="189">
        <f t="shared" si="0"/>
        <v>27</v>
      </c>
      <c r="F31" s="188">
        <v>25</v>
      </c>
      <c r="G31" s="190">
        <f t="shared" si="1"/>
        <v>27</v>
      </c>
      <c r="H31" s="26"/>
      <c r="I31" s="26"/>
      <c r="J31" s="26"/>
      <c r="K31" s="26"/>
      <c r="L31" s="26"/>
      <c r="M31" s="26"/>
      <c r="N31" s="26"/>
      <c r="O31" s="26"/>
      <c r="P31" s="124"/>
    </row>
    <row r="32" spans="2:16" x14ac:dyDescent="0.2">
      <c r="B32" s="123"/>
      <c r="C32" s="179" t="s">
        <v>167</v>
      </c>
      <c r="D32" s="188">
        <v>25</v>
      </c>
      <c r="E32" s="189">
        <f t="shared" si="0"/>
        <v>27</v>
      </c>
      <c r="F32" s="188">
        <v>25</v>
      </c>
      <c r="G32" s="190">
        <f t="shared" si="1"/>
        <v>27</v>
      </c>
      <c r="H32" s="26"/>
      <c r="I32" s="26"/>
      <c r="J32" s="26"/>
      <c r="K32" s="26"/>
      <c r="L32" s="26"/>
      <c r="M32" s="26"/>
      <c r="N32" s="26"/>
      <c r="O32" s="26"/>
      <c r="P32" s="124"/>
    </row>
    <row r="33" spans="2:16" x14ac:dyDescent="0.2">
      <c r="B33" s="123"/>
      <c r="C33" s="179" t="s">
        <v>168</v>
      </c>
      <c r="D33" s="188">
        <v>25</v>
      </c>
      <c r="E33" s="189">
        <f t="shared" si="0"/>
        <v>27</v>
      </c>
      <c r="F33" s="188">
        <v>25</v>
      </c>
      <c r="G33" s="190">
        <f t="shared" si="1"/>
        <v>27</v>
      </c>
      <c r="H33" s="26"/>
      <c r="I33" s="26"/>
      <c r="J33" s="26"/>
      <c r="K33" s="26"/>
      <c r="L33" s="26"/>
      <c r="M33" s="26"/>
      <c r="N33" s="26"/>
      <c r="O33" s="26"/>
      <c r="P33" s="124"/>
    </row>
    <row r="34" spans="2:16" x14ac:dyDescent="0.2">
      <c r="B34" s="123"/>
      <c r="C34" s="179" t="s">
        <v>169</v>
      </c>
      <c r="D34" s="188">
        <v>25</v>
      </c>
      <c r="E34" s="189">
        <f t="shared" si="0"/>
        <v>27</v>
      </c>
      <c r="F34" s="188">
        <v>25</v>
      </c>
      <c r="G34" s="190">
        <f t="shared" si="1"/>
        <v>27</v>
      </c>
      <c r="H34" s="26"/>
      <c r="I34" s="26"/>
      <c r="J34" s="26"/>
      <c r="K34" s="26"/>
      <c r="L34" s="26"/>
      <c r="M34" s="26"/>
      <c r="N34" s="26"/>
      <c r="O34" s="26"/>
      <c r="P34" s="124"/>
    </row>
    <row r="35" spans="2:16" x14ac:dyDescent="0.2">
      <c r="B35" s="123"/>
      <c r="C35" s="179" t="s">
        <v>170</v>
      </c>
      <c r="D35" s="188">
        <v>25</v>
      </c>
      <c r="E35" s="189">
        <f t="shared" si="0"/>
        <v>27</v>
      </c>
      <c r="F35" s="188">
        <v>25</v>
      </c>
      <c r="G35" s="190">
        <f t="shared" si="1"/>
        <v>27</v>
      </c>
      <c r="H35" s="26"/>
      <c r="I35" s="26"/>
      <c r="J35" s="26"/>
      <c r="K35" s="26"/>
      <c r="L35" s="26"/>
      <c r="M35" s="26"/>
      <c r="N35" s="26"/>
      <c r="O35" s="26"/>
      <c r="P35" s="124"/>
    </row>
    <row r="36" spans="2:16" x14ac:dyDescent="0.2">
      <c r="B36" s="123"/>
      <c r="C36" s="179" t="s">
        <v>171</v>
      </c>
      <c r="D36" s="188">
        <v>25</v>
      </c>
      <c r="E36" s="189">
        <f t="shared" si="0"/>
        <v>27</v>
      </c>
      <c r="F36" s="188">
        <v>25</v>
      </c>
      <c r="G36" s="190">
        <f t="shared" si="1"/>
        <v>27</v>
      </c>
      <c r="H36" s="26"/>
      <c r="I36" s="26"/>
      <c r="J36" s="26"/>
      <c r="K36" s="26"/>
      <c r="L36" s="26"/>
      <c r="M36" s="26"/>
      <c r="N36" s="26"/>
      <c r="O36" s="26"/>
      <c r="P36" s="124"/>
    </row>
    <row r="37" spans="2:16" x14ac:dyDescent="0.2">
      <c r="B37" s="123"/>
      <c r="C37" s="179" t="s">
        <v>172</v>
      </c>
      <c r="D37" s="188">
        <v>25</v>
      </c>
      <c r="E37" s="189">
        <f t="shared" si="0"/>
        <v>27</v>
      </c>
      <c r="F37" s="188">
        <v>25</v>
      </c>
      <c r="G37" s="190">
        <f t="shared" si="1"/>
        <v>27</v>
      </c>
      <c r="H37" s="26"/>
      <c r="I37" s="26"/>
      <c r="J37" s="26"/>
      <c r="K37" s="26"/>
      <c r="L37" s="26"/>
      <c r="M37" s="26"/>
      <c r="N37" s="26"/>
      <c r="O37" s="26"/>
      <c r="P37" s="124"/>
    </row>
    <row r="38" spans="2:16" x14ac:dyDescent="0.2">
      <c r="B38" s="123"/>
      <c r="C38" s="179" t="s">
        <v>173</v>
      </c>
      <c r="D38" s="188">
        <v>25</v>
      </c>
      <c r="E38" s="189">
        <f t="shared" si="0"/>
        <v>27</v>
      </c>
      <c r="F38" s="188">
        <v>25</v>
      </c>
      <c r="G38" s="190">
        <f t="shared" si="1"/>
        <v>27</v>
      </c>
      <c r="H38" s="26"/>
      <c r="I38" s="26"/>
      <c r="J38" s="26"/>
      <c r="K38" s="26"/>
      <c r="L38" s="26"/>
      <c r="M38" s="26"/>
      <c r="N38" s="26"/>
      <c r="O38" s="26"/>
      <c r="P38" s="124"/>
    </row>
    <row r="39" spans="2:16" x14ac:dyDescent="0.2">
      <c r="B39" s="123"/>
      <c r="C39" s="179" t="s">
        <v>174</v>
      </c>
      <c r="D39" s="188">
        <v>25</v>
      </c>
      <c r="E39" s="189">
        <f t="shared" si="0"/>
        <v>27</v>
      </c>
      <c r="F39" s="188">
        <v>25</v>
      </c>
      <c r="G39" s="190">
        <f t="shared" si="1"/>
        <v>27</v>
      </c>
      <c r="H39" s="26"/>
      <c r="I39" s="26"/>
      <c r="J39" s="26"/>
      <c r="K39" s="26"/>
      <c r="L39" s="26"/>
      <c r="M39" s="26"/>
      <c r="N39" s="26"/>
      <c r="O39" s="26"/>
      <c r="P39" s="124"/>
    </row>
    <row r="40" spans="2:16" x14ac:dyDescent="0.2">
      <c r="B40" s="123"/>
      <c r="C40" s="179" t="s">
        <v>338</v>
      </c>
      <c r="D40" s="188">
        <v>25</v>
      </c>
      <c r="E40" s="189">
        <f t="shared" ref="E40" si="2">D40+2</f>
        <v>27</v>
      </c>
      <c r="F40" s="188">
        <v>25</v>
      </c>
      <c r="G40" s="190">
        <f t="shared" ref="G40" si="3">F40+2</f>
        <v>27</v>
      </c>
      <c r="H40" s="26"/>
      <c r="I40" s="26"/>
      <c r="J40" s="26"/>
      <c r="K40" s="26"/>
      <c r="L40" s="26"/>
      <c r="M40" s="26"/>
      <c r="N40" s="26"/>
      <c r="O40" s="26"/>
      <c r="P40" s="124"/>
    </row>
    <row r="41" spans="2:16" x14ac:dyDescent="0.2">
      <c r="B41" s="123"/>
      <c r="C41" s="179" t="s">
        <v>175</v>
      </c>
      <c r="D41" s="188">
        <v>25</v>
      </c>
      <c r="E41" s="189">
        <f t="shared" si="0"/>
        <v>27</v>
      </c>
      <c r="F41" s="188">
        <v>25</v>
      </c>
      <c r="G41" s="190">
        <f t="shared" si="1"/>
        <v>27</v>
      </c>
      <c r="H41" s="26"/>
      <c r="I41" s="26"/>
      <c r="J41" s="26"/>
      <c r="K41" s="26"/>
      <c r="L41" s="26"/>
      <c r="M41" s="26"/>
      <c r="N41" s="26"/>
      <c r="O41" s="26"/>
      <c r="P41" s="124"/>
    </row>
    <row r="42" spans="2:16" x14ac:dyDescent="0.2">
      <c r="B42" s="123"/>
      <c r="C42" s="179" t="s">
        <v>176</v>
      </c>
      <c r="D42" s="188">
        <v>25</v>
      </c>
      <c r="E42" s="189">
        <f t="shared" si="0"/>
        <v>27</v>
      </c>
      <c r="F42" s="188">
        <v>25</v>
      </c>
      <c r="G42" s="190">
        <f t="shared" si="1"/>
        <v>27</v>
      </c>
      <c r="H42" s="26"/>
      <c r="I42" s="26"/>
      <c r="J42" s="26"/>
      <c r="K42" s="26"/>
      <c r="L42" s="26"/>
      <c r="M42" s="26"/>
      <c r="N42" s="26"/>
      <c r="O42" s="26"/>
      <c r="P42" s="124"/>
    </row>
    <row r="43" spans="2:16" x14ac:dyDescent="0.2">
      <c r="B43" s="123"/>
      <c r="C43" s="179" t="s">
        <v>337</v>
      </c>
      <c r="D43" s="188">
        <v>25</v>
      </c>
      <c r="E43" s="189">
        <f t="shared" ref="E43" si="4">D43+2</f>
        <v>27</v>
      </c>
      <c r="F43" s="188">
        <v>25</v>
      </c>
      <c r="G43" s="190">
        <f t="shared" ref="G43" si="5">F43+2</f>
        <v>27</v>
      </c>
      <c r="H43" s="26"/>
      <c r="I43" s="26"/>
      <c r="J43" s="26"/>
      <c r="K43" s="26"/>
      <c r="L43" s="26"/>
      <c r="M43" s="26"/>
      <c r="N43" s="26"/>
      <c r="O43" s="26"/>
      <c r="P43" s="124"/>
    </row>
    <row r="44" spans="2:16" x14ac:dyDescent="0.2">
      <c r="B44" s="123"/>
      <c r="C44" s="179" t="s">
        <v>177</v>
      </c>
      <c r="D44" s="188">
        <v>25</v>
      </c>
      <c r="E44" s="189">
        <f t="shared" si="0"/>
        <v>27</v>
      </c>
      <c r="F44" s="188">
        <v>25</v>
      </c>
      <c r="G44" s="190">
        <f t="shared" si="1"/>
        <v>27</v>
      </c>
      <c r="H44" s="26"/>
      <c r="I44" s="26"/>
      <c r="J44" s="26"/>
      <c r="K44" s="26"/>
      <c r="L44" s="26"/>
      <c r="M44" s="26"/>
      <c r="N44" s="26"/>
      <c r="O44" s="26"/>
      <c r="P44" s="124"/>
    </row>
    <row r="45" spans="2:16" x14ac:dyDescent="0.2">
      <c r="B45" s="123"/>
      <c r="C45" s="179" t="s">
        <v>178</v>
      </c>
      <c r="D45" s="188">
        <v>25</v>
      </c>
      <c r="E45" s="189">
        <f t="shared" si="0"/>
        <v>27</v>
      </c>
      <c r="F45" s="188">
        <v>25</v>
      </c>
      <c r="G45" s="190">
        <f t="shared" si="1"/>
        <v>27</v>
      </c>
      <c r="H45" s="26"/>
      <c r="I45" s="26"/>
      <c r="J45" s="26"/>
      <c r="K45" s="26"/>
      <c r="L45" s="26"/>
      <c r="M45" s="26"/>
      <c r="N45" s="26"/>
      <c r="O45" s="26"/>
      <c r="P45" s="124"/>
    </row>
    <row r="46" spans="2:16" x14ac:dyDescent="0.2">
      <c r="B46" s="123"/>
      <c r="C46" s="179" t="s">
        <v>179</v>
      </c>
      <c r="D46" s="188">
        <v>33</v>
      </c>
      <c r="E46" s="189">
        <f t="shared" si="0"/>
        <v>35</v>
      </c>
      <c r="F46" s="188">
        <v>33</v>
      </c>
      <c r="G46" s="190">
        <f t="shared" si="1"/>
        <v>35</v>
      </c>
      <c r="H46" s="26"/>
      <c r="I46" s="26"/>
      <c r="J46" s="26"/>
      <c r="K46" s="26"/>
      <c r="L46" s="26"/>
      <c r="M46" s="26"/>
      <c r="N46" s="26"/>
      <c r="O46" s="26"/>
      <c r="P46" s="124"/>
    </row>
    <row r="47" spans="2:16" x14ac:dyDescent="0.2">
      <c r="B47" s="123"/>
      <c r="C47" s="179" t="s">
        <v>180</v>
      </c>
      <c r="D47" s="188">
        <v>25</v>
      </c>
      <c r="E47" s="189">
        <f t="shared" si="0"/>
        <v>27</v>
      </c>
      <c r="F47" s="188">
        <v>25</v>
      </c>
      <c r="G47" s="190">
        <f t="shared" si="1"/>
        <v>27</v>
      </c>
      <c r="H47" s="26"/>
      <c r="I47" s="26"/>
      <c r="J47" s="26"/>
      <c r="K47" s="26"/>
      <c r="L47" s="26"/>
      <c r="M47" s="26"/>
      <c r="N47" s="26"/>
      <c r="O47" s="26"/>
      <c r="P47" s="124"/>
    </row>
    <row r="48" spans="2:16" x14ac:dyDescent="0.2">
      <c r="B48" s="123"/>
      <c r="C48" s="179" t="s">
        <v>336</v>
      </c>
      <c r="D48" s="188">
        <v>25</v>
      </c>
      <c r="E48" s="189">
        <f t="shared" ref="E48" si="6">D48+2</f>
        <v>27</v>
      </c>
      <c r="F48" s="188">
        <v>25</v>
      </c>
      <c r="G48" s="190">
        <f t="shared" ref="G48" si="7">F48+2</f>
        <v>27</v>
      </c>
      <c r="H48" s="26"/>
      <c r="I48" s="26"/>
      <c r="J48" s="26"/>
      <c r="K48" s="26"/>
      <c r="L48" s="26"/>
      <c r="M48" s="26"/>
      <c r="N48" s="26"/>
      <c r="O48" s="26"/>
      <c r="P48" s="124"/>
    </row>
    <row r="49" spans="2:16" x14ac:dyDescent="0.2">
      <c r="B49" s="123"/>
      <c r="C49" s="179" t="s">
        <v>335</v>
      </c>
      <c r="D49" s="188">
        <v>25</v>
      </c>
      <c r="E49" s="189">
        <f t="shared" ref="E49" si="8">D49+2</f>
        <v>27</v>
      </c>
      <c r="F49" s="188">
        <v>25</v>
      </c>
      <c r="G49" s="190">
        <f t="shared" ref="G49" si="9">F49+2</f>
        <v>27</v>
      </c>
      <c r="H49" s="26"/>
      <c r="I49" s="26"/>
      <c r="J49" s="26"/>
      <c r="K49" s="26"/>
      <c r="L49" s="26"/>
      <c r="M49" s="26"/>
      <c r="N49" s="26"/>
      <c r="O49" s="26"/>
      <c r="P49" s="124"/>
    </row>
    <row r="50" spans="2:16" x14ac:dyDescent="0.2">
      <c r="B50" s="123"/>
      <c r="C50" s="179" t="s">
        <v>82</v>
      </c>
      <c r="D50" s="188">
        <v>25</v>
      </c>
      <c r="E50" s="189">
        <f t="shared" si="0"/>
        <v>27</v>
      </c>
      <c r="F50" s="188">
        <v>25</v>
      </c>
      <c r="G50" s="190">
        <f t="shared" si="1"/>
        <v>27</v>
      </c>
      <c r="H50" s="26"/>
      <c r="I50" s="26"/>
      <c r="J50" s="26"/>
      <c r="K50" s="26"/>
      <c r="L50" s="26"/>
      <c r="M50" s="26"/>
      <c r="N50" s="26"/>
      <c r="O50" s="26"/>
      <c r="P50" s="124"/>
    </row>
    <row r="51" spans="2:16" x14ac:dyDescent="0.2">
      <c r="B51" s="123"/>
      <c r="C51" s="179" t="s">
        <v>181</v>
      </c>
      <c r="D51" s="188">
        <v>25</v>
      </c>
      <c r="E51" s="189">
        <f t="shared" si="0"/>
        <v>27</v>
      </c>
      <c r="F51" s="188">
        <v>25</v>
      </c>
      <c r="G51" s="190">
        <f t="shared" si="1"/>
        <v>27</v>
      </c>
      <c r="H51" s="26"/>
      <c r="I51" s="26"/>
      <c r="J51" s="26"/>
      <c r="K51" s="26"/>
      <c r="L51" s="26"/>
      <c r="M51" s="26"/>
      <c r="N51" s="26"/>
      <c r="O51" s="26"/>
      <c r="P51" s="124"/>
    </row>
    <row r="52" spans="2:16" x14ac:dyDescent="0.2">
      <c r="B52" s="123"/>
      <c r="C52" s="179" t="s">
        <v>182</v>
      </c>
      <c r="D52" s="188">
        <v>25</v>
      </c>
      <c r="E52" s="189">
        <f t="shared" si="0"/>
        <v>27</v>
      </c>
      <c r="F52" s="188">
        <v>25</v>
      </c>
      <c r="G52" s="190">
        <f t="shared" si="1"/>
        <v>27</v>
      </c>
      <c r="H52" s="26"/>
      <c r="I52" s="26"/>
      <c r="J52" s="26"/>
      <c r="K52" s="26"/>
      <c r="L52" s="26"/>
      <c r="M52" s="26"/>
      <c r="N52" s="26"/>
      <c r="O52" s="26"/>
      <c r="P52" s="124"/>
    </row>
    <row r="53" spans="2:16" x14ac:dyDescent="0.2">
      <c r="B53" s="123"/>
      <c r="C53" s="179" t="s">
        <v>183</v>
      </c>
      <c r="D53" s="188">
        <v>8</v>
      </c>
      <c r="E53" s="189">
        <f t="shared" si="0"/>
        <v>10</v>
      </c>
      <c r="F53" s="188">
        <v>8</v>
      </c>
      <c r="G53" s="190">
        <f t="shared" si="1"/>
        <v>10</v>
      </c>
      <c r="H53" s="26"/>
      <c r="I53" s="26"/>
      <c r="J53" s="26"/>
      <c r="K53" s="26"/>
      <c r="L53" s="26"/>
      <c r="M53" s="26"/>
      <c r="N53" s="26"/>
      <c r="O53" s="26"/>
      <c r="P53" s="124"/>
    </row>
    <row r="54" spans="2:16" x14ac:dyDescent="0.2">
      <c r="B54" s="123"/>
      <c r="C54" s="179" t="s">
        <v>184</v>
      </c>
      <c r="D54" s="188">
        <v>25</v>
      </c>
      <c r="E54" s="189">
        <f t="shared" si="0"/>
        <v>27</v>
      </c>
      <c r="F54" s="188">
        <v>25</v>
      </c>
      <c r="G54" s="190">
        <f t="shared" si="1"/>
        <v>27</v>
      </c>
      <c r="H54" s="26"/>
      <c r="I54" s="26"/>
      <c r="J54" s="26"/>
      <c r="K54" s="26"/>
      <c r="L54" s="26"/>
      <c r="M54" s="26"/>
      <c r="N54" s="26"/>
      <c r="O54" s="26"/>
      <c r="P54" s="124"/>
    </row>
    <row r="55" spans="2:16" x14ac:dyDescent="0.2">
      <c r="B55" s="123"/>
      <c r="C55" s="179" t="s">
        <v>185</v>
      </c>
      <c r="D55" s="188">
        <v>25</v>
      </c>
      <c r="E55" s="189">
        <f t="shared" si="0"/>
        <v>27</v>
      </c>
      <c r="F55" s="188">
        <v>25</v>
      </c>
      <c r="G55" s="190">
        <f t="shared" si="1"/>
        <v>27</v>
      </c>
      <c r="H55" s="26"/>
      <c r="I55" s="26"/>
      <c r="J55" s="26"/>
      <c r="K55" s="26"/>
      <c r="L55" s="26"/>
      <c r="M55" s="26"/>
      <c r="N55" s="26"/>
      <c r="O55" s="26"/>
      <c r="P55" s="124"/>
    </row>
    <row r="56" spans="2:16" x14ac:dyDescent="0.2">
      <c r="B56" s="123"/>
      <c r="C56" s="179" t="s">
        <v>186</v>
      </c>
      <c r="D56" s="188">
        <v>23</v>
      </c>
      <c r="E56" s="189">
        <f t="shared" si="0"/>
        <v>25</v>
      </c>
      <c r="F56" s="188">
        <v>23</v>
      </c>
      <c r="G56" s="190">
        <f t="shared" si="1"/>
        <v>25</v>
      </c>
      <c r="H56" s="26"/>
      <c r="I56" s="26"/>
      <c r="J56" s="26"/>
      <c r="K56" s="26"/>
      <c r="L56" s="26"/>
      <c r="M56" s="26"/>
      <c r="N56" s="26"/>
      <c r="O56" s="26"/>
      <c r="P56" s="124"/>
    </row>
    <row r="57" spans="2:16" x14ac:dyDescent="0.2">
      <c r="B57" s="123"/>
      <c r="C57" s="179" t="s">
        <v>187</v>
      </c>
      <c r="D57" s="188">
        <v>25</v>
      </c>
      <c r="E57" s="189">
        <f t="shared" si="0"/>
        <v>27</v>
      </c>
      <c r="F57" s="188">
        <v>25</v>
      </c>
      <c r="G57" s="190">
        <f t="shared" si="1"/>
        <v>27</v>
      </c>
      <c r="H57" s="26"/>
      <c r="I57" s="26"/>
      <c r="J57" s="26"/>
      <c r="K57" s="26"/>
      <c r="L57" s="26"/>
      <c r="M57" s="26"/>
      <c r="N57" s="26"/>
      <c r="O57" s="26"/>
      <c r="P57" s="124"/>
    </row>
    <row r="58" spans="2:16" x14ac:dyDescent="0.2">
      <c r="B58" s="123"/>
      <c r="C58" s="179" t="s">
        <v>188</v>
      </c>
      <c r="D58" s="188">
        <v>25</v>
      </c>
      <c r="E58" s="189">
        <f t="shared" si="0"/>
        <v>27</v>
      </c>
      <c r="F58" s="188">
        <v>25</v>
      </c>
      <c r="G58" s="190">
        <f t="shared" si="1"/>
        <v>27</v>
      </c>
      <c r="H58" s="26"/>
      <c r="I58" s="26"/>
      <c r="J58" s="26"/>
      <c r="K58" s="26"/>
      <c r="L58" s="26"/>
      <c r="M58" s="26"/>
      <c r="N58" s="26"/>
      <c r="O58" s="26"/>
      <c r="P58" s="124"/>
    </row>
    <row r="59" spans="2:16" x14ac:dyDescent="0.2">
      <c r="B59" s="123"/>
      <c r="C59" s="179" t="s">
        <v>189</v>
      </c>
      <c r="D59" s="188">
        <v>25</v>
      </c>
      <c r="E59" s="189">
        <f t="shared" si="0"/>
        <v>27</v>
      </c>
      <c r="F59" s="188">
        <v>25</v>
      </c>
      <c r="G59" s="190">
        <f t="shared" si="1"/>
        <v>27</v>
      </c>
      <c r="H59" s="26"/>
      <c r="I59" s="26"/>
      <c r="J59" s="26"/>
      <c r="K59" s="26"/>
      <c r="L59" s="26"/>
      <c r="M59" s="26"/>
      <c r="N59" s="26"/>
      <c r="O59" s="26"/>
      <c r="P59" s="124"/>
    </row>
    <row r="60" spans="2:16" x14ac:dyDescent="0.2">
      <c r="B60" s="123"/>
      <c r="C60" s="179" t="s">
        <v>190</v>
      </c>
      <c r="D60" s="188">
        <v>18</v>
      </c>
      <c r="E60" s="189">
        <f t="shared" si="0"/>
        <v>20</v>
      </c>
      <c r="F60" s="188">
        <v>18</v>
      </c>
      <c r="G60" s="190">
        <f t="shared" si="1"/>
        <v>20</v>
      </c>
      <c r="H60" s="26"/>
      <c r="I60" s="26"/>
      <c r="J60" s="26"/>
      <c r="K60" s="26"/>
      <c r="L60" s="26"/>
      <c r="M60" s="26"/>
      <c r="N60" s="26"/>
      <c r="O60" s="26"/>
      <c r="P60" s="124"/>
    </row>
    <row r="61" spans="2:16" x14ac:dyDescent="0.2">
      <c r="B61" s="123"/>
      <c r="C61" s="179" t="s">
        <v>191</v>
      </c>
      <c r="D61" s="188">
        <v>25</v>
      </c>
      <c r="E61" s="189">
        <f t="shared" si="0"/>
        <v>27</v>
      </c>
      <c r="F61" s="188">
        <v>25</v>
      </c>
      <c r="G61" s="190">
        <f t="shared" si="1"/>
        <v>27</v>
      </c>
      <c r="H61" s="26"/>
      <c r="I61" s="26"/>
      <c r="J61" s="26"/>
      <c r="K61" s="26"/>
      <c r="L61" s="26"/>
      <c r="M61" s="26"/>
      <c r="N61" s="26"/>
      <c r="O61" s="26"/>
      <c r="P61" s="124"/>
    </row>
    <row r="62" spans="2:16" x14ac:dyDescent="0.2">
      <c r="B62" s="123"/>
      <c r="C62" s="179" t="s">
        <v>192</v>
      </c>
      <c r="D62" s="188">
        <v>25</v>
      </c>
      <c r="E62" s="189">
        <f t="shared" si="0"/>
        <v>27</v>
      </c>
      <c r="F62" s="188">
        <v>25</v>
      </c>
      <c r="G62" s="190">
        <f t="shared" si="1"/>
        <v>27</v>
      </c>
      <c r="H62" s="26"/>
      <c r="I62" s="26"/>
      <c r="J62" s="26"/>
      <c r="K62" s="26"/>
      <c r="L62" s="26"/>
      <c r="M62" s="26"/>
      <c r="N62" s="26"/>
      <c r="O62" s="26"/>
      <c r="P62" s="124"/>
    </row>
    <row r="63" spans="2:16" x14ac:dyDescent="0.2">
      <c r="B63" s="123"/>
      <c r="C63" s="179" t="s">
        <v>193</v>
      </c>
      <c r="D63" s="188">
        <v>7</v>
      </c>
      <c r="E63" s="189">
        <f t="shared" si="0"/>
        <v>9</v>
      </c>
      <c r="F63" s="188">
        <v>7</v>
      </c>
      <c r="G63" s="190">
        <f t="shared" si="1"/>
        <v>9</v>
      </c>
      <c r="H63" s="26"/>
      <c r="I63" s="26"/>
      <c r="J63" s="26"/>
      <c r="K63" s="26"/>
      <c r="L63" s="26"/>
      <c r="M63" s="26"/>
      <c r="N63" s="26"/>
      <c r="O63" s="26"/>
      <c r="P63" s="124"/>
    </row>
    <row r="64" spans="2:16" x14ac:dyDescent="0.2">
      <c r="B64" s="123"/>
      <c r="C64" s="179" t="s">
        <v>194</v>
      </c>
      <c r="D64" s="188">
        <v>7.5</v>
      </c>
      <c r="E64" s="189">
        <f t="shared" si="0"/>
        <v>9.5</v>
      </c>
      <c r="F64" s="188">
        <v>7.5</v>
      </c>
      <c r="G64" s="190">
        <f t="shared" si="1"/>
        <v>9.5</v>
      </c>
      <c r="H64" s="26"/>
      <c r="I64" s="26"/>
      <c r="J64" s="26"/>
      <c r="K64" s="26"/>
      <c r="L64" s="26"/>
      <c r="M64" s="26"/>
      <c r="N64" s="26"/>
      <c r="O64" s="26"/>
      <c r="P64" s="124"/>
    </row>
    <row r="65" spans="2:16" x14ac:dyDescent="0.2">
      <c r="B65" s="123"/>
      <c r="C65" s="179" t="s">
        <v>195</v>
      </c>
      <c r="D65" s="188">
        <v>25</v>
      </c>
      <c r="E65" s="189">
        <f t="shared" si="0"/>
        <v>27</v>
      </c>
      <c r="F65" s="188">
        <v>25</v>
      </c>
      <c r="G65" s="190">
        <f t="shared" si="1"/>
        <v>27</v>
      </c>
      <c r="H65" s="26"/>
      <c r="I65" s="26"/>
      <c r="J65" s="26"/>
      <c r="K65" s="26"/>
      <c r="L65" s="26"/>
      <c r="M65" s="26"/>
      <c r="N65" s="26"/>
      <c r="O65" s="26"/>
      <c r="P65" s="124"/>
    </row>
    <row r="66" spans="2:16" x14ac:dyDescent="0.2">
      <c r="B66" s="123"/>
      <c r="C66" s="179" t="s">
        <v>196</v>
      </c>
      <c r="D66" s="188">
        <v>25</v>
      </c>
      <c r="E66" s="189">
        <f t="shared" si="0"/>
        <v>27</v>
      </c>
      <c r="F66" s="188">
        <v>25</v>
      </c>
      <c r="G66" s="190">
        <f t="shared" si="1"/>
        <v>27</v>
      </c>
      <c r="H66" s="26"/>
      <c r="I66" s="26"/>
      <c r="J66" s="26"/>
      <c r="K66" s="26"/>
      <c r="L66" s="26"/>
      <c r="M66" s="26"/>
      <c r="N66" s="26"/>
      <c r="O66" s="26"/>
      <c r="P66" s="124"/>
    </row>
    <row r="67" spans="2:16" x14ac:dyDescent="0.2">
      <c r="B67" s="123"/>
      <c r="C67" s="179" t="s">
        <v>197</v>
      </c>
      <c r="D67" s="188">
        <v>25</v>
      </c>
      <c r="E67" s="189">
        <f t="shared" si="0"/>
        <v>27</v>
      </c>
      <c r="F67" s="188">
        <v>25</v>
      </c>
      <c r="G67" s="190">
        <f t="shared" si="1"/>
        <v>27</v>
      </c>
      <c r="H67" s="26"/>
      <c r="I67" s="26"/>
      <c r="J67" s="26"/>
      <c r="K67" s="26"/>
      <c r="L67" s="26"/>
      <c r="M67" s="26"/>
      <c r="N67" s="26"/>
      <c r="O67" s="26"/>
      <c r="P67" s="124"/>
    </row>
    <row r="68" spans="2:16" x14ac:dyDescent="0.2">
      <c r="B68" s="123"/>
      <c r="C68" s="179" t="s">
        <v>334</v>
      </c>
      <c r="D68" s="188">
        <v>25</v>
      </c>
      <c r="E68" s="189">
        <f t="shared" ref="E68" si="10">D68+2</f>
        <v>27</v>
      </c>
      <c r="F68" s="188">
        <v>25</v>
      </c>
      <c r="G68" s="190">
        <f t="shared" ref="G68" si="11">F68+2</f>
        <v>27</v>
      </c>
      <c r="H68" s="26"/>
      <c r="I68" s="26"/>
      <c r="J68" s="26"/>
      <c r="K68" s="26"/>
      <c r="L68" s="26"/>
      <c r="M68" s="26"/>
      <c r="N68" s="26"/>
      <c r="O68" s="26"/>
      <c r="P68" s="124"/>
    </row>
    <row r="69" spans="2:16" x14ac:dyDescent="0.2">
      <c r="B69" s="123"/>
      <c r="C69" s="179" t="s">
        <v>198</v>
      </c>
      <c r="D69" s="188">
        <v>25</v>
      </c>
      <c r="E69" s="189">
        <f t="shared" si="0"/>
        <v>27</v>
      </c>
      <c r="F69" s="188">
        <v>25</v>
      </c>
      <c r="G69" s="190">
        <f t="shared" si="1"/>
        <v>27</v>
      </c>
      <c r="H69" s="26"/>
      <c r="I69" s="26"/>
      <c r="J69" s="26"/>
      <c r="K69" s="26"/>
      <c r="L69" s="26"/>
      <c r="M69" s="26"/>
      <c r="N69" s="26"/>
      <c r="O69" s="26"/>
      <c r="P69" s="124"/>
    </row>
    <row r="70" spans="2:16" x14ac:dyDescent="0.2">
      <c r="B70" s="123"/>
      <c r="C70" s="179" t="s">
        <v>333</v>
      </c>
      <c r="D70" s="188">
        <v>25</v>
      </c>
      <c r="E70" s="189">
        <f t="shared" ref="E70" si="12">D70+2</f>
        <v>27</v>
      </c>
      <c r="F70" s="188">
        <v>25</v>
      </c>
      <c r="G70" s="190">
        <f t="shared" ref="G70" si="13">F70+2</f>
        <v>27</v>
      </c>
      <c r="H70" s="26"/>
      <c r="I70" s="26"/>
      <c r="J70" s="26"/>
      <c r="K70" s="26"/>
      <c r="L70" s="26"/>
      <c r="M70" s="26"/>
      <c r="N70" s="26"/>
      <c r="O70" s="26"/>
      <c r="P70" s="124"/>
    </row>
    <row r="71" spans="2:16" x14ac:dyDescent="0.2">
      <c r="B71" s="123"/>
      <c r="C71" s="179" t="s">
        <v>199</v>
      </c>
      <c r="D71" s="188">
        <v>25</v>
      </c>
      <c r="E71" s="189">
        <f t="shared" si="0"/>
        <v>27</v>
      </c>
      <c r="F71" s="188">
        <v>25</v>
      </c>
      <c r="G71" s="190">
        <f t="shared" si="1"/>
        <v>27</v>
      </c>
      <c r="H71" s="26"/>
      <c r="I71" s="26"/>
      <c r="J71" s="26"/>
      <c r="K71" s="26"/>
      <c r="L71" s="26"/>
      <c r="M71" s="26"/>
      <c r="N71" s="26"/>
      <c r="O71" s="26"/>
      <c r="P71" s="124"/>
    </row>
    <row r="72" spans="2:16" x14ac:dyDescent="0.2">
      <c r="B72" s="123"/>
      <c r="C72" s="179" t="s">
        <v>200</v>
      </c>
      <c r="D72" s="188">
        <v>12</v>
      </c>
      <c r="E72" s="189">
        <f t="shared" si="0"/>
        <v>14</v>
      </c>
      <c r="F72" s="188">
        <v>12</v>
      </c>
      <c r="G72" s="190">
        <f t="shared" si="1"/>
        <v>14</v>
      </c>
      <c r="H72" s="26"/>
      <c r="I72" s="26"/>
      <c r="J72" s="26"/>
      <c r="K72" s="26"/>
      <c r="L72" s="26"/>
      <c r="M72" s="26"/>
      <c r="N72" s="26"/>
      <c r="O72" s="26"/>
      <c r="P72" s="124"/>
    </row>
    <row r="73" spans="2:16" x14ac:dyDescent="0.2">
      <c r="B73" s="123"/>
      <c r="C73" s="179" t="s">
        <v>201</v>
      </c>
      <c r="D73" s="188">
        <v>25</v>
      </c>
      <c r="E73" s="189">
        <f t="shared" si="0"/>
        <v>27</v>
      </c>
      <c r="F73" s="188">
        <v>25</v>
      </c>
      <c r="G73" s="190">
        <f t="shared" si="1"/>
        <v>27</v>
      </c>
      <c r="H73" s="26"/>
      <c r="I73" s="26"/>
      <c r="J73" s="26"/>
      <c r="K73" s="26"/>
      <c r="L73" s="26"/>
      <c r="M73" s="26"/>
      <c r="N73" s="26"/>
      <c r="O73" s="26"/>
      <c r="P73" s="124"/>
    </row>
    <row r="74" spans="2:16" x14ac:dyDescent="0.2">
      <c r="B74" s="123"/>
      <c r="C74" s="179" t="s">
        <v>202</v>
      </c>
      <c r="D74" s="188">
        <v>25</v>
      </c>
      <c r="E74" s="189">
        <f t="shared" si="0"/>
        <v>27</v>
      </c>
      <c r="F74" s="188">
        <v>25</v>
      </c>
      <c r="G74" s="190">
        <f t="shared" si="1"/>
        <v>27</v>
      </c>
      <c r="H74" s="26"/>
      <c r="I74" s="26"/>
      <c r="J74" s="26"/>
      <c r="K74" s="26"/>
      <c r="L74" s="26"/>
      <c r="M74" s="26"/>
      <c r="N74" s="26"/>
      <c r="O74" s="26"/>
      <c r="P74" s="124"/>
    </row>
    <row r="75" spans="2:16" x14ac:dyDescent="0.2">
      <c r="B75" s="123"/>
      <c r="C75" s="179" t="s">
        <v>203</v>
      </c>
      <c r="D75" s="188">
        <v>25</v>
      </c>
      <c r="E75" s="189">
        <f t="shared" si="0"/>
        <v>27</v>
      </c>
      <c r="F75" s="188">
        <v>25</v>
      </c>
      <c r="G75" s="190">
        <f t="shared" si="1"/>
        <v>27</v>
      </c>
      <c r="H75" s="26"/>
      <c r="I75" s="26"/>
      <c r="J75" s="26"/>
      <c r="K75" s="26"/>
      <c r="L75" s="26"/>
      <c r="M75" s="26"/>
      <c r="N75" s="26"/>
      <c r="O75" s="26"/>
      <c r="P75" s="124"/>
    </row>
    <row r="76" spans="2:16" x14ac:dyDescent="0.2">
      <c r="B76" s="123"/>
      <c r="C76" s="179" t="s">
        <v>204</v>
      </c>
      <c r="D76" s="188">
        <v>8</v>
      </c>
      <c r="E76" s="189">
        <f t="shared" si="0"/>
        <v>10</v>
      </c>
      <c r="F76" s="188">
        <v>8</v>
      </c>
      <c r="G76" s="190">
        <f t="shared" si="1"/>
        <v>10</v>
      </c>
      <c r="H76" s="26"/>
      <c r="I76" s="26"/>
      <c r="J76" s="26"/>
      <c r="K76" s="26"/>
      <c r="L76" s="26"/>
      <c r="M76" s="26"/>
      <c r="N76" s="26"/>
      <c r="O76" s="26"/>
      <c r="P76" s="124"/>
    </row>
    <row r="77" spans="2:16" x14ac:dyDescent="0.2">
      <c r="B77" s="123"/>
      <c r="C77" s="179" t="s">
        <v>205</v>
      </c>
      <c r="D77" s="188">
        <v>25</v>
      </c>
      <c r="E77" s="189">
        <f t="shared" si="0"/>
        <v>27</v>
      </c>
      <c r="F77" s="188">
        <v>25</v>
      </c>
      <c r="G77" s="190">
        <f t="shared" si="1"/>
        <v>27</v>
      </c>
      <c r="H77" s="26"/>
      <c r="I77" s="26"/>
      <c r="J77" s="26"/>
      <c r="K77" s="26"/>
      <c r="L77" s="26"/>
      <c r="M77" s="26"/>
      <c r="N77" s="26"/>
      <c r="O77" s="26"/>
      <c r="P77" s="124"/>
    </row>
    <row r="78" spans="2:16" x14ac:dyDescent="0.2">
      <c r="B78" s="123"/>
      <c r="C78" s="179" t="s">
        <v>206</v>
      </c>
      <c r="D78" s="188">
        <v>25</v>
      </c>
      <c r="E78" s="189">
        <f t="shared" si="0"/>
        <v>27</v>
      </c>
      <c r="F78" s="188">
        <v>25</v>
      </c>
      <c r="G78" s="190">
        <f t="shared" si="1"/>
        <v>27</v>
      </c>
      <c r="H78" s="26"/>
      <c r="I78" s="26"/>
      <c r="J78" s="26"/>
      <c r="K78" s="26"/>
      <c r="L78" s="26"/>
      <c r="M78" s="26"/>
      <c r="N78" s="26"/>
      <c r="O78" s="26"/>
      <c r="P78" s="124"/>
    </row>
    <row r="79" spans="2:16" x14ac:dyDescent="0.2">
      <c r="B79" s="123"/>
      <c r="C79" s="179" t="s">
        <v>207</v>
      </c>
      <c r="D79" s="188">
        <v>25</v>
      </c>
      <c r="E79" s="189">
        <f t="shared" si="0"/>
        <v>27</v>
      </c>
      <c r="F79" s="188">
        <v>25</v>
      </c>
      <c r="G79" s="190">
        <f t="shared" si="1"/>
        <v>27</v>
      </c>
      <c r="H79" s="26"/>
      <c r="I79" s="26"/>
      <c r="J79" s="26"/>
      <c r="K79" s="26"/>
      <c r="L79" s="26"/>
      <c r="M79" s="26"/>
      <c r="N79" s="26"/>
      <c r="O79" s="26"/>
      <c r="P79" s="124"/>
    </row>
    <row r="80" spans="2:16" x14ac:dyDescent="0.2">
      <c r="B80" s="123"/>
      <c r="C80" s="179" t="s">
        <v>332</v>
      </c>
      <c r="D80" s="188">
        <v>25</v>
      </c>
      <c r="E80" s="189">
        <f t="shared" ref="E80" si="14">D80+2</f>
        <v>27</v>
      </c>
      <c r="F80" s="188">
        <v>25</v>
      </c>
      <c r="G80" s="190">
        <f t="shared" ref="G80" si="15">F80+2</f>
        <v>27</v>
      </c>
      <c r="H80" s="26"/>
      <c r="I80" s="26"/>
      <c r="J80" s="26"/>
      <c r="K80" s="26"/>
      <c r="L80" s="26"/>
      <c r="M80" s="26"/>
      <c r="N80" s="26"/>
      <c r="O80" s="26"/>
      <c r="P80" s="124"/>
    </row>
    <row r="81" spans="2:16" x14ac:dyDescent="0.2">
      <c r="B81" s="123"/>
      <c r="C81" s="179" t="s">
        <v>208</v>
      </c>
      <c r="D81" s="188">
        <v>30</v>
      </c>
      <c r="E81" s="189">
        <f t="shared" ref="E81:E88" si="16">D81+2</f>
        <v>32</v>
      </c>
      <c r="F81" s="188">
        <v>30</v>
      </c>
      <c r="G81" s="190">
        <f t="shared" ref="G81:G88" si="17">F81+2</f>
        <v>32</v>
      </c>
      <c r="H81" s="26"/>
      <c r="I81" s="26"/>
      <c r="J81" s="26"/>
      <c r="K81" s="26"/>
      <c r="L81" s="26"/>
      <c r="M81" s="26"/>
      <c r="N81" s="26"/>
      <c r="O81" s="26"/>
      <c r="P81" s="124"/>
    </row>
    <row r="82" spans="2:16" x14ac:dyDescent="0.2">
      <c r="B82" s="123"/>
      <c r="C82" s="179" t="s">
        <v>209</v>
      </c>
      <c r="D82" s="188">
        <v>2</v>
      </c>
      <c r="E82" s="189">
        <f t="shared" si="16"/>
        <v>4</v>
      </c>
      <c r="F82" s="188">
        <v>2</v>
      </c>
      <c r="G82" s="190">
        <f t="shared" si="17"/>
        <v>4</v>
      </c>
      <c r="H82" s="26"/>
      <c r="I82" s="26"/>
      <c r="J82" s="26"/>
      <c r="K82" s="26"/>
      <c r="L82" s="26"/>
      <c r="M82" s="26"/>
      <c r="N82" s="26"/>
      <c r="O82" s="26"/>
      <c r="P82" s="124"/>
    </row>
    <row r="83" spans="2:16" x14ac:dyDescent="0.2">
      <c r="B83" s="123"/>
      <c r="C83" s="179" t="s">
        <v>210</v>
      </c>
      <c r="D83" s="188">
        <v>25</v>
      </c>
      <c r="E83" s="189">
        <f t="shared" si="16"/>
        <v>27</v>
      </c>
      <c r="F83" s="188">
        <v>25</v>
      </c>
      <c r="G83" s="190">
        <f t="shared" si="17"/>
        <v>27</v>
      </c>
      <c r="H83" s="26"/>
      <c r="I83" s="26"/>
      <c r="J83" s="26"/>
      <c r="K83" s="26"/>
      <c r="L83" s="26"/>
      <c r="M83" s="26"/>
      <c r="N83" s="26"/>
      <c r="O83" s="26"/>
      <c r="P83" s="124"/>
    </row>
    <row r="84" spans="2:16" x14ac:dyDescent="0.2">
      <c r="B84" s="123"/>
      <c r="C84" s="179" t="s">
        <v>211</v>
      </c>
      <c r="D84" s="188">
        <v>25</v>
      </c>
      <c r="E84" s="189">
        <f t="shared" si="16"/>
        <v>27</v>
      </c>
      <c r="F84" s="188">
        <v>25</v>
      </c>
      <c r="G84" s="190">
        <f t="shared" si="17"/>
        <v>27</v>
      </c>
      <c r="H84" s="26"/>
      <c r="I84" s="26"/>
      <c r="J84" s="26"/>
      <c r="K84" s="26"/>
      <c r="L84" s="26"/>
      <c r="M84" s="26"/>
      <c r="N84" s="26"/>
      <c r="O84" s="26"/>
      <c r="P84" s="124"/>
    </row>
    <row r="85" spans="2:16" x14ac:dyDescent="0.2">
      <c r="B85" s="123"/>
      <c r="C85" s="179" t="s">
        <v>212</v>
      </c>
      <c r="D85" s="188">
        <v>13</v>
      </c>
      <c r="E85" s="189">
        <f t="shared" si="16"/>
        <v>15</v>
      </c>
      <c r="F85" s="188">
        <v>13</v>
      </c>
      <c r="G85" s="190">
        <f t="shared" si="17"/>
        <v>15</v>
      </c>
      <c r="H85" s="26"/>
      <c r="I85" s="26"/>
      <c r="J85" s="26"/>
      <c r="K85" s="26"/>
      <c r="L85" s="26"/>
      <c r="M85" s="26"/>
      <c r="N85" s="26"/>
      <c r="O85" s="26"/>
      <c r="P85" s="124"/>
    </row>
    <row r="86" spans="2:16" x14ac:dyDescent="0.2">
      <c r="B86" s="123"/>
      <c r="C86" s="179" t="s">
        <v>331</v>
      </c>
      <c r="D86" s="188">
        <v>25</v>
      </c>
      <c r="E86" s="189">
        <v>27</v>
      </c>
      <c r="F86" s="188">
        <v>25</v>
      </c>
      <c r="G86" s="190">
        <v>27</v>
      </c>
      <c r="H86" s="26"/>
      <c r="I86" s="26"/>
      <c r="J86" s="26"/>
      <c r="K86" s="26"/>
      <c r="L86" s="26"/>
      <c r="M86" s="26"/>
      <c r="N86" s="26"/>
      <c r="O86" s="26"/>
      <c r="P86" s="124"/>
    </row>
    <row r="87" spans="2:16" x14ac:dyDescent="0.2">
      <c r="B87" s="123"/>
      <c r="C87" s="164" t="s">
        <v>213</v>
      </c>
      <c r="D87" s="41">
        <v>70.900000000000006</v>
      </c>
      <c r="E87" s="189">
        <f t="shared" si="16"/>
        <v>72.900000000000006</v>
      </c>
      <c r="F87" s="41">
        <v>70.900000000000006</v>
      </c>
      <c r="G87" s="190">
        <f t="shared" si="17"/>
        <v>72.900000000000006</v>
      </c>
      <c r="H87" s="26"/>
      <c r="I87" s="26"/>
      <c r="J87" s="26"/>
      <c r="K87" s="26"/>
      <c r="L87" s="26"/>
      <c r="M87" s="26"/>
      <c r="N87" s="26"/>
      <c r="O87" s="26"/>
      <c r="P87" s="124"/>
    </row>
    <row r="88" spans="2:16" x14ac:dyDescent="0.2">
      <c r="B88" s="123"/>
      <c r="C88" s="164" t="s">
        <v>214</v>
      </c>
      <c r="D88" s="41">
        <v>94.3</v>
      </c>
      <c r="E88" s="189">
        <f t="shared" si="16"/>
        <v>96.3</v>
      </c>
      <c r="F88" s="41">
        <v>94.3</v>
      </c>
      <c r="G88" s="190">
        <f t="shared" si="17"/>
        <v>96.3</v>
      </c>
      <c r="H88" s="26"/>
      <c r="I88" s="26"/>
      <c r="J88" s="26"/>
      <c r="K88" s="26"/>
      <c r="L88" s="26"/>
      <c r="M88" s="26"/>
      <c r="N88" s="26"/>
      <c r="O88" s="26"/>
      <c r="P88" s="124"/>
    </row>
    <row r="89" spans="2:16" x14ac:dyDescent="0.2">
      <c r="B89" s="123"/>
      <c r="C89" s="164" t="s">
        <v>215</v>
      </c>
      <c r="D89" s="41"/>
      <c r="E89" s="41"/>
      <c r="F89" s="41"/>
      <c r="G89" s="36"/>
      <c r="H89" s="26"/>
      <c r="I89" s="26"/>
      <c r="J89" s="26"/>
      <c r="K89" s="26"/>
      <c r="L89" s="26"/>
      <c r="M89" s="26"/>
      <c r="N89" s="26"/>
      <c r="O89" s="26"/>
      <c r="P89" s="124"/>
    </row>
    <row r="90" spans="2:16" x14ac:dyDescent="0.2">
      <c r="B90" s="123"/>
      <c r="C90" s="164" t="s">
        <v>216</v>
      </c>
      <c r="D90" s="41"/>
      <c r="E90" s="41"/>
      <c r="F90" s="41"/>
      <c r="G90" s="36"/>
      <c r="H90" s="26"/>
      <c r="I90" s="26"/>
      <c r="J90" s="26"/>
      <c r="K90" s="26"/>
      <c r="L90" s="26"/>
      <c r="M90" s="26"/>
      <c r="N90" s="26"/>
      <c r="O90" s="26"/>
      <c r="P90" s="124"/>
    </row>
    <row r="91" spans="2:16" x14ac:dyDescent="0.2">
      <c r="B91" s="123"/>
      <c r="C91" s="26"/>
      <c r="D91" s="26"/>
      <c r="E91" s="26"/>
      <c r="F91" s="26"/>
      <c r="G91" s="26"/>
      <c r="H91" s="26"/>
      <c r="I91" s="26"/>
      <c r="J91" s="26"/>
      <c r="K91" s="26"/>
      <c r="L91" s="26"/>
      <c r="M91" s="26"/>
      <c r="N91" s="26"/>
      <c r="O91" s="26"/>
      <c r="P91" s="124"/>
    </row>
    <row r="92" spans="2:16" x14ac:dyDescent="0.2">
      <c r="B92" s="123"/>
      <c r="C92" s="26" t="s">
        <v>217</v>
      </c>
      <c r="D92" s="26"/>
      <c r="E92" s="26"/>
      <c r="F92" s="26"/>
      <c r="G92" s="26"/>
      <c r="H92" s="26"/>
      <c r="I92" s="26"/>
      <c r="J92" s="26"/>
      <c r="K92" s="26"/>
      <c r="L92" s="26"/>
      <c r="M92" s="26"/>
      <c r="N92" s="26"/>
      <c r="O92" s="26"/>
      <c r="P92" s="124"/>
    </row>
    <row r="93" spans="2:16" ht="45.75" thickBot="1" x14ac:dyDescent="0.25">
      <c r="B93" s="123"/>
      <c r="C93" s="32" t="s">
        <v>218</v>
      </c>
      <c r="D93" s="32" t="s">
        <v>219</v>
      </c>
      <c r="E93" s="32" t="s">
        <v>220</v>
      </c>
      <c r="F93" s="32" t="s">
        <v>221</v>
      </c>
      <c r="G93" s="32" t="s">
        <v>222</v>
      </c>
      <c r="H93" s="32" t="s">
        <v>223</v>
      </c>
      <c r="I93" s="32" t="s">
        <v>224</v>
      </c>
      <c r="J93" s="42" t="s">
        <v>225</v>
      </c>
      <c r="K93" s="32" t="s">
        <v>226</v>
      </c>
      <c r="L93" s="37" t="s">
        <v>227</v>
      </c>
      <c r="M93" s="42" t="s">
        <v>228</v>
      </c>
      <c r="N93" s="32" t="s">
        <v>229</v>
      </c>
      <c r="O93" s="121" t="s">
        <v>230</v>
      </c>
      <c r="P93" s="124"/>
    </row>
    <row r="94" spans="2:16" ht="15" thickTop="1" x14ac:dyDescent="0.2">
      <c r="B94" s="123"/>
      <c r="C94" s="173" t="s">
        <v>231</v>
      </c>
      <c r="D94" s="173" t="s">
        <v>117</v>
      </c>
      <c r="E94" s="173" t="b">
        <v>0</v>
      </c>
      <c r="F94" s="173" t="s">
        <v>232</v>
      </c>
      <c r="G94" s="173" t="s">
        <v>233</v>
      </c>
      <c r="H94" s="41" t="str">
        <f t="shared" ref="H94:H157" si="18">C94&amp;"|"&amp;D94&amp;"|"&amp;E94&amp;"|"&amp;F94&amp;"|"&amp;G94</f>
        <v>East Hampshire Rivers|Cereals|FALSE|700to900|FreeDrain</v>
      </c>
      <c r="I94" s="174">
        <v>0.11454703289986423</v>
      </c>
      <c r="J94" s="174">
        <v>27.988218574418561</v>
      </c>
      <c r="K94" s="33" t="str">
        <f t="shared" ref="K94:K157" si="19">D94&amp;"|"&amp;F94&amp;""</f>
        <v>Cereals|700to900</v>
      </c>
      <c r="L94" s="175">
        <f>AVERAGE(I94,I96,I98)</f>
        <v>0.56822387045147238</v>
      </c>
      <c r="M94" s="178">
        <f>AVERAGE(J94,J96,J98)</f>
        <v>23.246216717153818</v>
      </c>
      <c r="N94" s="174">
        <f>AVERAGE(I94:I100)</f>
        <v>0.5156684094784415</v>
      </c>
      <c r="O94" s="177">
        <f>AVERAGE(J94:J100)</f>
        <v>24.132631468277147</v>
      </c>
      <c r="P94" s="124"/>
    </row>
    <row r="95" spans="2:16" x14ac:dyDescent="0.2">
      <c r="B95" s="123"/>
      <c r="C95" s="173" t="s">
        <v>231</v>
      </c>
      <c r="D95" s="173" t="s">
        <v>117</v>
      </c>
      <c r="E95" s="173" t="b">
        <v>1</v>
      </c>
      <c r="F95" s="173" t="s">
        <v>232</v>
      </c>
      <c r="G95" s="173" t="s">
        <v>233</v>
      </c>
      <c r="H95" s="41" t="str">
        <f t="shared" si="18"/>
        <v>East Hampshire Rivers|Cereals|TRUE|700to900|FreeDrain</v>
      </c>
      <c r="I95" s="174">
        <v>0.11454257304655278</v>
      </c>
      <c r="J95" s="174">
        <v>27.896799494977913</v>
      </c>
      <c r="K95" s="33" t="str">
        <f t="shared" si="19"/>
        <v>Cereals|700to900</v>
      </c>
      <c r="L95" s="175"/>
      <c r="M95" s="176"/>
      <c r="N95" s="174"/>
      <c r="O95" s="177"/>
      <c r="P95" s="124"/>
    </row>
    <row r="96" spans="2:16" x14ac:dyDescent="0.2">
      <c r="B96" s="123"/>
      <c r="C96" s="173" t="s">
        <v>231</v>
      </c>
      <c r="D96" s="173" t="s">
        <v>117</v>
      </c>
      <c r="E96" s="173" t="b">
        <v>0</v>
      </c>
      <c r="F96" s="173" t="s">
        <v>232</v>
      </c>
      <c r="G96" s="173" t="s">
        <v>234</v>
      </c>
      <c r="H96" s="41" t="str">
        <f t="shared" si="18"/>
        <v>East Hampshire Rivers|Cereals|FALSE|700to900|DrainedAr</v>
      </c>
      <c r="I96" s="174">
        <v>0.67105042420774774</v>
      </c>
      <c r="J96" s="174">
        <v>21.578749910402966</v>
      </c>
      <c r="K96" s="33" t="str">
        <f t="shared" si="19"/>
        <v>Cereals|700to900</v>
      </c>
      <c r="L96" s="175"/>
      <c r="M96" s="176"/>
      <c r="N96" s="174"/>
      <c r="O96" s="177"/>
      <c r="P96" s="124"/>
    </row>
    <row r="97" spans="2:16" x14ac:dyDescent="0.2">
      <c r="B97" s="123"/>
      <c r="C97" s="173" t="s">
        <v>231</v>
      </c>
      <c r="D97" s="173" t="s">
        <v>117</v>
      </c>
      <c r="E97" s="173" t="b">
        <v>1</v>
      </c>
      <c r="F97" s="173" t="s">
        <v>232</v>
      </c>
      <c r="G97" s="173" t="s">
        <v>234</v>
      </c>
      <c r="H97" s="41" t="str">
        <f t="shared" si="18"/>
        <v>East Hampshire Rivers|Cereals|TRUE|700to900|DrainedAr</v>
      </c>
      <c r="I97" s="174">
        <v>0.67101051287774738</v>
      </c>
      <c r="J97" s="174">
        <v>21.516613376482834</v>
      </c>
      <c r="K97" s="33" t="str">
        <f t="shared" si="19"/>
        <v>Cereals|700to900</v>
      </c>
      <c r="L97" s="175"/>
      <c r="M97" s="176"/>
      <c r="N97" s="174"/>
      <c r="O97" s="177"/>
      <c r="P97" s="124"/>
    </row>
    <row r="98" spans="2:16" x14ac:dyDescent="0.2">
      <c r="B98" s="123"/>
      <c r="C98" s="173" t="s">
        <v>231</v>
      </c>
      <c r="D98" s="173" t="s">
        <v>117</v>
      </c>
      <c r="E98" s="173" t="b">
        <v>0</v>
      </c>
      <c r="F98" s="173" t="s">
        <v>232</v>
      </c>
      <c r="G98" s="173" t="s">
        <v>235</v>
      </c>
      <c r="H98" s="41" t="str">
        <f t="shared" si="18"/>
        <v>East Hampshire Rivers|Cereals|FALSE|700to900|DrainedArGr</v>
      </c>
      <c r="I98" s="174">
        <v>0.91907415424680527</v>
      </c>
      <c r="J98" s="174">
        <v>20.17168166663993</v>
      </c>
      <c r="K98" s="33" t="str">
        <f t="shared" si="19"/>
        <v>Cereals|700to900</v>
      </c>
      <c r="L98" s="175"/>
      <c r="M98" s="176"/>
      <c r="N98" s="174"/>
      <c r="O98" s="177"/>
      <c r="P98" s="124"/>
    </row>
    <row r="99" spans="2:16" x14ac:dyDescent="0.2">
      <c r="B99" s="123"/>
      <c r="C99" s="173" t="s">
        <v>231</v>
      </c>
      <c r="D99" s="173" t="s">
        <v>117</v>
      </c>
      <c r="E99" s="173" t="b">
        <v>1</v>
      </c>
      <c r="F99" s="173" t="s">
        <v>232</v>
      </c>
      <c r="G99" s="173" t="s">
        <v>235</v>
      </c>
      <c r="H99" s="41" t="str">
        <f t="shared" si="18"/>
        <v>East Hampshire Rivers|Cereals|TRUE|700to900|DrainedArGr</v>
      </c>
      <c r="I99" s="174">
        <v>0.91899372795833079</v>
      </c>
      <c r="J99" s="174">
        <v>20.121159183910638</v>
      </c>
      <c r="K99" s="33" t="str">
        <f t="shared" si="19"/>
        <v>Cereals|700to900</v>
      </c>
      <c r="L99" s="175"/>
      <c r="M99" s="176"/>
      <c r="N99" s="174"/>
      <c r="O99" s="177"/>
      <c r="P99" s="124"/>
    </row>
    <row r="100" spans="2:16" x14ac:dyDescent="0.2">
      <c r="B100" s="123"/>
      <c r="C100" s="173" t="s">
        <v>231</v>
      </c>
      <c r="D100" s="173" t="s">
        <v>117</v>
      </c>
      <c r="E100" s="173" t="b">
        <v>1</v>
      </c>
      <c r="F100" s="173" t="s">
        <v>236</v>
      </c>
      <c r="G100" s="173" t="s">
        <v>233</v>
      </c>
      <c r="H100" s="41" t="str">
        <f t="shared" si="18"/>
        <v>East Hampshire Rivers|Cereals|TRUE|900to1200|FreeDrain</v>
      </c>
      <c r="I100" s="174">
        <v>0.20046044111204267</v>
      </c>
      <c r="J100" s="174">
        <v>29.655198071107176</v>
      </c>
      <c r="K100" s="33" t="str">
        <f t="shared" si="19"/>
        <v>Cereals|900to1200</v>
      </c>
      <c r="L100" s="175">
        <f>AVERAGE(I100)</f>
        <v>0.20046044111204267</v>
      </c>
      <c r="M100" s="176">
        <f>AVERAGE(J100,J146)</f>
        <v>25.384498452334626</v>
      </c>
      <c r="N100" s="174"/>
      <c r="O100" s="177"/>
      <c r="P100" s="124"/>
    </row>
    <row r="101" spans="2:16" x14ac:dyDescent="0.2">
      <c r="B101" s="123"/>
      <c r="C101" s="173" t="s">
        <v>231</v>
      </c>
      <c r="D101" s="173" t="s">
        <v>237</v>
      </c>
      <c r="E101" s="173" t="b">
        <v>0</v>
      </c>
      <c r="F101" s="173" t="s">
        <v>232</v>
      </c>
      <c r="G101" s="173" t="s">
        <v>233</v>
      </c>
      <c r="H101" s="41" t="str">
        <f t="shared" si="18"/>
        <v>East Hampshire Rivers|General|FALSE|700to900|FreeDrain</v>
      </c>
      <c r="I101" s="174">
        <v>8.8296053765286625E-2</v>
      </c>
      <c r="J101" s="174">
        <v>19.121686908953265</v>
      </c>
      <c r="K101" s="33" t="str">
        <f t="shared" si="19"/>
        <v>General|700to900</v>
      </c>
      <c r="L101" s="175">
        <f>AVERAGE(I101,I103,I106)</f>
        <v>0.40244950323659423</v>
      </c>
      <c r="M101" s="176">
        <f>AVERAGE(J101,J103,J106)</f>
        <v>15.462376557304816</v>
      </c>
      <c r="N101" s="174">
        <f>AVERAGE(I101:I108)</f>
        <v>0.42605138186280683</v>
      </c>
      <c r="O101" s="177">
        <f>AVERAGE(J101:J108)</f>
        <v>16.419173411450149</v>
      </c>
      <c r="P101" s="124"/>
    </row>
    <row r="102" spans="2:16" x14ac:dyDescent="0.2">
      <c r="B102" s="123"/>
      <c r="C102" s="173" t="s">
        <v>231</v>
      </c>
      <c r="D102" s="173" t="s">
        <v>237</v>
      </c>
      <c r="E102" s="173" t="b">
        <v>1</v>
      </c>
      <c r="F102" s="173" t="s">
        <v>232</v>
      </c>
      <c r="G102" s="173" t="s">
        <v>233</v>
      </c>
      <c r="H102" s="41" t="str">
        <f t="shared" si="18"/>
        <v>East Hampshire Rivers|General|TRUE|700to900|FreeDrain</v>
      </c>
      <c r="I102" s="174">
        <v>8.8296053765286625E-2</v>
      </c>
      <c r="J102" s="174">
        <v>19.06852914481717</v>
      </c>
      <c r="K102" s="33" t="str">
        <f t="shared" si="19"/>
        <v>General|700to900</v>
      </c>
      <c r="L102" s="175"/>
      <c r="M102" s="176"/>
      <c r="N102" s="174"/>
      <c r="O102" s="177"/>
      <c r="P102" s="124"/>
    </row>
    <row r="103" spans="2:16" x14ac:dyDescent="0.2">
      <c r="B103" s="123"/>
      <c r="C103" s="173" t="s">
        <v>231</v>
      </c>
      <c r="D103" s="173" t="s">
        <v>237</v>
      </c>
      <c r="E103" s="173" t="b">
        <v>0</v>
      </c>
      <c r="F103" s="173" t="s">
        <v>232</v>
      </c>
      <c r="G103" s="173" t="s">
        <v>234</v>
      </c>
      <c r="H103" s="41" t="str">
        <f t="shared" si="18"/>
        <v>East Hampshire Rivers|General|FALSE|700to900|DrainedAr</v>
      </c>
      <c r="I103" s="174">
        <v>0.43793824959358962</v>
      </c>
      <c r="J103" s="174">
        <v>14.357835113419883</v>
      </c>
      <c r="K103" s="33" t="str">
        <f t="shared" si="19"/>
        <v>General|700to900</v>
      </c>
      <c r="L103" s="175"/>
      <c r="M103" s="176"/>
      <c r="N103" s="174"/>
      <c r="O103" s="177"/>
      <c r="P103" s="124"/>
    </row>
    <row r="104" spans="2:16" x14ac:dyDescent="0.2">
      <c r="B104" s="123"/>
      <c r="C104" s="173" t="s">
        <v>231</v>
      </c>
      <c r="D104" s="173" t="s">
        <v>237</v>
      </c>
      <c r="E104" s="173" t="b">
        <v>1</v>
      </c>
      <c r="F104" s="173" t="s">
        <v>232</v>
      </c>
      <c r="G104" s="173" t="s">
        <v>234</v>
      </c>
      <c r="H104" s="41" t="str">
        <f t="shared" si="18"/>
        <v>East Hampshire Rivers|General|TRUE|700to900|DrainedAr</v>
      </c>
      <c r="I104" s="174">
        <v>0.43793824959358962</v>
      </c>
      <c r="J104" s="174">
        <v>14.322697312479278</v>
      </c>
      <c r="K104" s="33" t="str">
        <f t="shared" si="19"/>
        <v>General|700to900</v>
      </c>
      <c r="L104" s="175"/>
      <c r="M104" s="176"/>
      <c r="N104" s="174"/>
      <c r="O104" s="177"/>
      <c r="P104" s="124"/>
    </row>
    <row r="105" spans="2:16" x14ac:dyDescent="0.2">
      <c r="B105" s="123"/>
      <c r="C105" s="173" t="s">
        <v>231</v>
      </c>
      <c r="D105" s="173" t="s">
        <v>237</v>
      </c>
      <c r="E105" s="173" t="b">
        <v>0</v>
      </c>
      <c r="F105" s="173" t="s">
        <v>232</v>
      </c>
      <c r="G105" s="173" t="s">
        <v>235</v>
      </c>
      <c r="H105" s="41" t="str">
        <f t="shared" si="18"/>
        <v>East Hampshire Rivers|General|FALSE|700to900|DrainedArGr</v>
      </c>
      <c r="I105" s="174">
        <v>0.68111420635090647</v>
      </c>
      <c r="J105" s="174">
        <v>12.935591593756174</v>
      </c>
      <c r="K105" s="33" t="str">
        <f t="shared" si="19"/>
        <v>General|700to900</v>
      </c>
      <c r="L105" s="175"/>
      <c r="M105" s="176"/>
      <c r="N105" s="174"/>
      <c r="O105" s="177"/>
      <c r="P105" s="124"/>
    </row>
    <row r="106" spans="2:16" x14ac:dyDescent="0.2">
      <c r="B106" s="123"/>
      <c r="C106" s="173" t="s">
        <v>231</v>
      </c>
      <c r="D106" s="173" t="s">
        <v>237</v>
      </c>
      <c r="E106" s="173" t="b">
        <v>1</v>
      </c>
      <c r="F106" s="173" t="s">
        <v>232</v>
      </c>
      <c r="G106" s="173" t="s">
        <v>235</v>
      </c>
      <c r="H106" s="41" t="str">
        <f t="shared" si="18"/>
        <v>East Hampshire Rivers|General|TRUE|700to900|DrainedArGr</v>
      </c>
      <c r="I106" s="174">
        <v>0.68111420635090647</v>
      </c>
      <c r="J106" s="174">
        <v>12.907607649541301</v>
      </c>
      <c r="K106" s="33" t="str">
        <f t="shared" si="19"/>
        <v>General|700to900</v>
      </c>
      <c r="L106" s="175"/>
      <c r="M106" s="176"/>
      <c r="N106" s="174"/>
      <c r="O106" s="177"/>
      <c r="P106" s="124"/>
    </row>
    <row r="107" spans="2:16" x14ac:dyDescent="0.2">
      <c r="B107" s="123"/>
      <c r="C107" s="173" t="s">
        <v>231</v>
      </c>
      <c r="D107" s="173" t="s">
        <v>237</v>
      </c>
      <c r="E107" s="173" t="b">
        <v>1</v>
      </c>
      <c r="F107" s="173" t="s">
        <v>236</v>
      </c>
      <c r="G107" s="173" t="s">
        <v>233</v>
      </c>
      <c r="H107" s="41" t="str">
        <f t="shared" si="18"/>
        <v>East Hampshire Rivers|General|TRUE|900to1200|FreeDrain</v>
      </c>
      <c r="I107" s="174">
        <v>0.15706173510828303</v>
      </c>
      <c r="J107" s="174">
        <v>20.386196671338283</v>
      </c>
      <c r="K107" s="33" t="str">
        <f t="shared" si="19"/>
        <v>General|900to1200</v>
      </c>
      <c r="L107" s="175">
        <f>AVERAGE(I107:I108)</f>
        <v>0.49685701774144431</v>
      </c>
      <c r="M107" s="176">
        <f>AVERAGE(J107:J108)</f>
        <v>19.319719784317058</v>
      </c>
      <c r="N107" s="174"/>
      <c r="O107" s="177"/>
      <c r="P107" s="124"/>
    </row>
    <row r="108" spans="2:16" x14ac:dyDescent="0.2">
      <c r="B108" s="123"/>
      <c r="C108" s="173" t="s">
        <v>231</v>
      </c>
      <c r="D108" s="173" t="s">
        <v>237</v>
      </c>
      <c r="E108" s="173" t="b">
        <v>1</v>
      </c>
      <c r="F108" s="173" t="s">
        <v>236</v>
      </c>
      <c r="G108" s="173" t="s">
        <v>234</v>
      </c>
      <c r="H108" s="41" t="str">
        <f t="shared" si="18"/>
        <v>East Hampshire Rivers|General|TRUE|900to1200|DrainedAr</v>
      </c>
      <c r="I108" s="174">
        <v>0.83665230037460558</v>
      </c>
      <c r="J108" s="174">
        <v>18.253242897295834</v>
      </c>
      <c r="K108" s="33" t="str">
        <f t="shared" si="19"/>
        <v>General|900to1200</v>
      </c>
      <c r="L108" s="175"/>
      <c r="M108" s="176"/>
      <c r="N108" s="174"/>
      <c r="O108" s="177"/>
      <c r="P108" s="124"/>
    </row>
    <row r="109" spans="2:16" x14ac:dyDescent="0.2">
      <c r="B109" s="123"/>
      <c r="C109" s="173" t="s">
        <v>231</v>
      </c>
      <c r="D109" s="173" t="s">
        <v>238</v>
      </c>
      <c r="E109" s="173" t="b">
        <v>0</v>
      </c>
      <c r="F109" s="173" t="s">
        <v>232</v>
      </c>
      <c r="G109" s="173" t="s">
        <v>233</v>
      </c>
      <c r="H109" s="41" t="str">
        <f t="shared" si="18"/>
        <v>East Hampshire Rivers|Horticulture|FALSE|700to900|FreeDrain</v>
      </c>
      <c r="I109" s="174">
        <v>0.10052781093080548</v>
      </c>
      <c r="J109" s="174">
        <v>21.320130124648898</v>
      </c>
      <c r="K109" s="33" t="str">
        <f t="shared" si="19"/>
        <v>Horticulture|700to900</v>
      </c>
      <c r="L109" s="175">
        <f>AVERAGE(I109,I111:I112)</f>
        <v>0.50195829757662325</v>
      </c>
      <c r="M109" s="176">
        <f>AVERAGE(J109,J111:J112)</f>
        <v>16.858764778324911</v>
      </c>
      <c r="N109" s="174">
        <f>AVERAGE(I109:I114)</f>
        <v>0.4356883958238274</v>
      </c>
      <c r="O109" s="177">
        <f>AVERAGE(J109:J114)</f>
        <v>18.093878658984348</v>
      </c>
      <c r="P109" s="124"/>
    </row>
    <row r="110" spans="2:16" x14ac:dyDescent="0.2">
      <c r="B110" s="123"/>
      <c r="C110" s="173" t="s">
        <v>231</v>
      </c>
      <c r="D110" s="173" t="s">
        <v>238</v>
      </c>
      <c r="E110" s="173" t="b">
        <v>1</v>
      </c>
      <c r="F110" s="173" t="s">
        <v>232</v>
      </c>
      <c r="G110" s="173" t="s">
        <v>233</v>
      </c>
      <c r="H110" s="41" t="str">
        <f t="shared" si="18"/>
        <v>East Hampshire Rivers|Horticulture|TRUE|700to900|FreeDrain</v>
      </c>
      <c r="I110" s="174">
        <v>0.10052781093080548</v>
      </c>
      <c r="J110" s="174">
        <v>21.262489534345253</v>
      </c>
      <c r="K110" s="33" t="str">
        <f t="shared" si="19"/>
        <v>Horticulture|700to900</v>
      </c>
      <c r="L110" s="175"/>
      <c r="M110" s="176"/>
      <c r="N110" s="174"/>
      <c r="O110" s="177"/>
      <c r="P110" s="124"/>
    </row>
    <row r="111" spans="2:16" x14ac:dyDescent="0.2">
      <c r="B111" s="123"/>
      <c r="C111" s="173" t="s">
        <v>231</v>
      </c>
      <c r="D111" s="173" t="s">
        <v>238</v>
      </c>
      <c r="E111" s="173" t="b">
        <v>1</v>
      </c>
      <c r="F111" s="173" t="s">
        <v>232</v>
      </c>
      <c r="G111" s="173" t="s">
        <v>234</v>
      </c>
      <c r="H111" s="41" t="str">
        <f t="shared" si="18"/>
        <v>East Hampshire Rivers|Horticulture|TRUE|700to900|DrainedAr</v>
      </c>
      <c r="I111" s="174">
        <v>0.57978879748313161</v>
      </c>
      <c r="J111" s="174">
        <v>15.470438338529902</v>
      </c>
      <c r="K111" s="33" t="str">
        <f t="shared" si="19"/>
        <v>Horticulture|700to900</v>
      </c>
      <c r="L111" s="175"/>
      <c r="M111" s="176"/>
      <c r="N111" s="174"/>
      <c r="O111" s="177"/>
      <c r="P111" s="124"/>
    </row>
    <row r="112" spans="2:16" x14ac:dyDescent="0.2">
      <c r="B112" s="123"/>
      <c r="C112" s="173" t="s">
        <v>231</v>
      </c>
      <c r="D112" s="173" t="s">
        <v>238</v>
      </c>
      <c r="E112" s="173" t="b">
        <v>0</v>
      </c>
      <c r="F112" s="173" t="s">
        <v>232</v>
      </c>
      <c r="G112" s="173" t="s">
        <v>235</v>
      </c>
      <c r="H112" s="41" t="str">
        <f t="shared" si="18"/>
        <v>East Hampshire Rivers|Horticulture|FALSE|700to900|DrainedArGr</v>
      </c>
      <c r="I112" s="174">
        <v>0.82555828431593259</v>
      </c>
      <c r="J112" s="174">
        <v>13.785725871795936</v>
      </c>
      <c r="K112" s="33" t="str">
        <f t="shared" si="19"/>
        <v>Horticulture|700to900</v>
      </c>
      <c r="L112" s="175"/>
      <c r="M112" s="176"/>
      <c r="N112" s="174"/>
      <c r="O112" s="177"/>
      <c r="P112" s="124"/>
    </row>
    <row r="113" spans="2:16" x14ac:dyDescent="0.2">
      <c r="B113" s="123"/>
      <c r="C113" s="173" t="s">
        <v>231</v>
      </c>
      <c r="D113" s="173" t="s">
        <v>238</v>
      </c>
      <c r="E113" s="173" t="b">
        <v>1</v>
      </c>
      <c r="F113" s="173" t="s">
        <v>232</v>
      </c>
      <c r="G113" s="173" t="s">
        <v>235</v>
      </c>
      <c r="H113" s="41" t="str">
        <f t="shared" si="18"/>
        <v>East Hampshire Rivers|Horticulture|TRUE|700to900|DrainedArGr</v>
      </c>
      <c r="I113" s="174">
        <v>0.82555828431593259</v>
      </c>
      <c r="J113" s="174">
        <v>13.755325607644352</v>
      </c>
      <c r="K113" s="33" t="str">
        <f t="shared" si="19"/>
        <v>Horticulture|700to900</v>
      </c>
      <c r="L113" s="175"/>
      <c r="M113" s="176"/>
      <c r="N113" s="174"/>
      <c r="O113" s="177"/>
      <c r="P113" s="124"/>
    </row>
    <row r="114" spans="2:16" x14ac:dyDescent="0.2">
      <c r="B114" s="123"/>
      <c r="C114" s="173" t="s">
        <v>231</v>
      </c>
      <c r="D114" s="173" t="s">
        <v>238</v>
      </c>
      <c r="E114" s="173" t="b">
        <v>1</v>
      </c>
      <c r="F114" s="173" t="s">
        <v>236</v>
      </c>
      <c r="G114" s="173" t="s">
        <v>233</v>
      </c>
      <c r="H114" s="41" t="str">
        <f t="shared" si="18"/>
        <v>East Hampshire Rivers|Horticulture|TRUE|900to1200|FreeDrain</v>
      </c>
      <c r="I114" s="174">
        <v>0.18216938696635682</v>
      </c>
      <c r="J114" s="174">
        <v>22.96916247694174</v>
      </c>
      <c r="K114" s="33" t="str">
        <f t="shared" si="19"/>
        <v>Horticulture|900to1200</v>
      </c>
      <c r="L114" s="175">
        <f>AVERAGE(I114)</f>
        <v>0.18216938696635682</v>
      </c>
      <c r="M114" s="176">
        <f>AVERAGE(J114,J387,J388)</f>
        <v>15.59480768916948</v>
      </c>
      <c r="N114" s="174"/>
      <c r="O114" s="177"/>
      <c r="P114" s="124"/>
    </row>
    <row r="115" spans="2:16" x14ac:dyDescent="0.2">
      <c r="B115" s="123"/>
      <c r="C115" s="173" t="s">
        <v>231</v>
      </c>
      <c r="D115" s="173" t="s">
        <v>239</v>
      </c>
      <c r="E115" s="173" t="b">
        <v>0</v>
      </c>
      <c r="F115" s="173" t="s">
        <v>232</v>
      </c>
      <c r="G115" s="173" t="s">
        <v>233</v>
      </c>
      <c r="H115" s="41" t="str">
        <f t="shared" si="18"/>
        <v>East Hampshire Rivers|Pig|FALSE|700to900|FreeDrain</v>
      </c>
      <c r="I115" s="174">
        <v>0.11607877080799327</v>
      </c>
      <c r="J115" s="174">
        <v>57.930552817529382</v>
      </c>
      <c r="K115" s="33" t="str">
        <f t="shared" si="19"/>
        <v>Pig|700to900</v>
      </c>
      <c r="L115" s="175">
        <f>AVERAGE(I115,I117:I118)</f>
        <v>0.55402803396427791</v>
      </c>
      <c r="M115" s="176">
        <f>AVERAGE(J115,J117:J118)</f>
        <v>44.180740809649386</v>
      </c>
      <c r="N115" s="174">
        <f>AVERAGE(I115:I119)</f>
        <v>0.54107329319712805</v>
      </c>
      <c r="O115" s="177">
        <f>AVERAGE(J115:J119)</f>
        <v>44.687643951832186</v>
      </c>
      <c r="P115" s="124"/>
    </row>
    <row r="116" spans="2:16" x14ac:dyDescent="0.2">
      <c r="B116" s="123"/>
      <c r="C116" s="173" t="s">
        <v>231</v>
      </c>
      <c r="D116" s="173" t="s">
        <v>239</v>
      </c>
      <c r="E116" s="173" t="b">
        <v>1</v>
      </c>
      <c r="F116" s="173" t="s">
        <v>232</v>
      </c>
      <c r="G116" s="173" t="s">
        <v>233</v>
      </c>
      <c r="H116" s="41" t="str">
        <f t="shared" si="18"/>
        <v>East Hampshire Rivers|Pig|TRUE|700to900|FreeDrain</v>
      </c>
      <c r="I116" s="174">
        <v>0.11407907802827572</v>
      </c>
      <c r="J116" s="174">
        <v>57.853243891356925</v>
      </c>
      <c r="K116" s="33" t="str">
        <f t="shared" si="19"/>
        <v>Pig|700to900</v>
      </c>
      <c r="L116" s="175"/>
      <c r="M116" s="176"/>
      <c r="N116" s="174"/>
      <c r="O116" s="177"/>
      <c r="P116" s="124"/>
    </row>
    <row r="117" spans="2:16" x14ac:dyDescent="0.2">
      <c r="B117" s="123"/>
      <c r="C117" s="173" t="s">
        <v>231</v>
      </c>
      <c r="D117" s="173" t="s">
        <v>239</v>
      </c>
      <c r="E117" s="173" t="b">
        <v>1</v>
      </c>
      <c r="F117" s="173" t="s">
        <v>232</v>
      </c>
      <c r="G117" s="173" t="s">
        <v>234</v>
      </c>
      <c r="H117" s="41" t="str">
        <f t="shared" si="18"/>
        <v>East Hampshire Rivers|Pig|TRUE|700to900|DrainedAr</v>
      </c>
      <c r="I117" s="174">
        <v>0.58691551146400622</v>
      </c>
      <c r="J117" s="174">
        <v>40.002358159386453</v>
      </c>
      <c r="K117" s="33" t="str">
        <f t="shared" si="19"/>
        <v>Pig|700to900</v>
      </c>
      <c r="L117" s="175"/>
      <c r="M117" s="176"/>
      <c r="N117" s="174"/>
      <c r="O117" s="177"/>
      <c r="P117" s="124"/>
    </row>
    <row r="118" spans="2:16" x14ac:dyDescent="0.2">
      <c r="B118" s="123"/>
      <c r="C118" s="173" t="s">
        <v>231</v>
      </c>
      <c r="D118" s="173" t="s">
        <v>239</v>
      </c>
      <c r="E118" s="173" t="b">
        <v>0</v>
      </c>
      <c r="F118" s="173" t="s">
        <v>232</v>
      </c>
      <c r="G118" s="173" t="s">
        <v>235</v>
      </c>
      <c r="H118" s="41" t="str">
        <f t="shared" si="18"/>
        <v>East Hampshire Rivers|Pig|FALSE|700to900|DrainedArGr</v>
      </c>
      <c r="I118" s="174">
        <v>0.95908981962083417</v>
      </c>
      <c r="J118" s="174">
        <v>34.609311452032316</v>
      </c>
      <c r="K118" s="33" t="str">
        <f t="shared" si="19"/>
        <v>Pig|700to900</v>
      </c>
      <c r="L118" s="175"/>
      <c r="M118" s="176"/>
      <c r="N118" s="174"/>
      <c r="O118" s="177"/>
      <c r="P118" s="124"/>
    </row>
    <row r="119" spans="2:16" x14ac:dyDescent="0.2">
      <c r="B119" s="123"/>
      <c r="C119" s="173" t="s">
        <v>231</v>
      </c>
      <c r="D119" s="173" t="s">
        <v>239</v>
      </c>
      <c r="E119" s="173" t="b">
        <v>1</v>
      </c>
      <c r="F119" s="173" t="s">
        <v>232</v>
      </c>
      <c r="G119" s="173" t="s">
        <v>235</v>
      </c>
      <c r="H119" s="41" t="str">
        <f t="shared" si="18"/>
        <v>East Hampshire Rivers|Pig|TRUE|700to900|DrainedArGr</v>
      </c>
      <c r="I119" s="174">
        <v>0.92920328606453051</v>
      </c>
      <c r="J119" s="174">
        <v>33.042753438855833</v>
      </c>
      <c r="K119" s="33" t="str">
        <f t="shared" si="19"/>
        <v>Pig|700to900</v>
      </c>
      <c r="L119" s="175"/>
      <c r="M119" s="176"/>
      <c r="N119" s="174"/>
      <c r="O119" s="177"/>
      <c r="P119" s="124"/>
    </row>
    <row r="120" spans="2:16" x14ac:dyDescent="0.2">
      <c r="B120" s="123"/>
      <c r="C120" s="173" t="s">
        <v>231</v>
      </c>
      <c r="D120" s="173" t="s">
        <v>240</v>
      </c>
      <c r="E120" s="173" t="b">
        <v>0</v>
      </c>
      <c r="F120" s="173" t="s">
        <v>232</v>
      </c>
      <c r="G120" s="173" t="s">
        <v>233</v>
      </c>
      <c r="H120" s="41" t="str">
        <f t="shared" si="18"/>
        <v>East Hampshire Rivers|Poultry|FALSE|700to900|FreeDrain</v>
      </c>
      <c r="I120" s="174">
        <v>0.12570748437605758</v>
      </c>
      <c r="J120" s="174">
        <v>130.05786656008135</v>
      </c>
      <c r="K120" s="33" t="str">
        <f t="shared" si="19"/>
        <v>Poultry|700to900</v>
      </c>
      <c r="L120" s="175">
        <f>AVERAGE(I120,I122)</f>
        <v>0.47343691570519136</v>
      </c>
      <c r="M120" s="176">
        <f>AVERAGE(J120,J122)</f>
        <v>98.83990093317658</v>
      </c>
      <c r="N120" s="174">
        <f>AVERAGE(I120:I123)</f>
        <v>0.31637375824047204</v>
      </c>
      <c r="O120" s="177">
        <f>AVERAGE(J120:J123)</f>
        <v>116.29346453464217</v>
      </c>
      <c r="P120" s="124"/>
    </row>
    <row r="121" spans="2:16" x14ac:dyDescent="0.2">
      <c r="B121" s="123"/>
      <c r="C121" s="173" t="s">
        <v>231</v>
      </c>
      <c r="D121" s="173" t="s">
        <v>240</v>
      </c>
      <c r="E121" s="173" t="b">
        <v>1</v>
      </c>
      <c r="F121" s="173" t="s">
        <v>232</v>
      </c>
      <c r="G121" s="173" t="s">
        <v>233</v>
      </c>
      <c r="H121" s="41" t="str">
        <f t="shared" si="18"/>
        <v>East Hampshire Rivers|Poultry|TRUE|700to900|FreeDrain</v>
      </c>
      <c r="I121" s="174">
        <v>0.12284299353261552</v>
      </c>
      <c r="J121" s="174">
        <v>130.60672419181711</v>
      </c>
      <c r="K121" s="33" t="str">
        <f t="shared" si="19"/>
        <v>Poultry|700to900</v>
      </c>
      <c r="L121" s="175"/>
      <c r="M121" s="176"/>
      <c r="N121" s="174"/>
      <c r="O121" s="177"/>
      <c r="P121" s="124"/>
    </row>
    <row r="122" spans="2:16" x14ac:dyDescent="0.2">
      <c r="B122" s="123"/>
      <c r="C122" s="173" t="s">
        <v>231</v>
      </c>
      <c r="D122" s="173" t="s">
        <v>240</v>
      </c>
      <c r="E122" s="173" t="b">
        <v>1</v>
      </c>
      <c r="F122" s="173" t="s">
        <v>232</v>
      </c>
      <c r="G122" s="173" t="s">
        <v>235</v>
      </c>
      <c r="H122" s="41" t="str">
        <f t="shared" si="18"/>
        <v>East Hampshire Rivers|Poultry|TRUE|700to900|DrainedArGr</v>
      </c>
      <c r="I122" s="174">
        <v>0.82116634703432512</v>
      </c>
      <c r="J122" s="174">
        <v>67.621935306271794</v>
      </c>
      <c r="K122" s="33" t="str">
        <f t="shared" si="19"/>
        <v>Poultry|700to900</v>
      </c>
      <c r="L122" s="175"/>
      <c r="M122" s="176"/>
      <c r="N122" s="174"/>
      <c r="O122" s="177"/>
      <c r="P122" s="124"/>
    </row>
    <row r="123" spans="2:16" x14ac:dyDescent="0.2">
      <c r="B123" s="123"/>
      <c r="C123" s="173" t="s">
        <v>231</v>
      </c>
      <c r="D123" s="173" t="s">
        <v>240</v>
      </c>
      <c r="E123" s="173" t="b">
        <v>1</v>
      </c>
      <c r="F123" s="173" t="s">
        <v>236</v>
      </c>
      <c r="G123" s="173" t="s">
        <v>233</v>
      </c>
      <c r="H123" s="41" t="str">
        <f t="shared" si="18"/>
        <v>East Hampshire Rivers|Poultry|TRUE|900to1200|FreeDrain</v>
      </c>
      <c r="I123" s="174">
        <v>0.19577820801888998</v>
      </c>
      <c r="J123" s="174">
        <v>136.88733208039841</v>
      </c>
      <c r="K123" s="33" t="str">
        <f t="shared" si="19"/>
        <v>Poultry|900to1200</v>
      </c>
      <c r="L123" s="175">
        <f>AVERAGE(I123)</f>
        <v>0.19577820801888998</v>
      </c>
      <c r="M123" s="176">
        <f>AVERAGE(J123,J211,J212)</f>
        <v>126.01231956975771</v>
      </c>
      <c r="N123" s="174"/>
      <c r="O123" s="177"/>
      <c r="P123" s="124"/>
    </row>
    <row r="124" spans="2:16" x14ac:dyDescent="0.2">
      <c r="B124" s="123"/>
      <c r="C124" s="173" t="s">
        <v>231</v>
      </c>
      <c r="D124" s="173" t="s">
        <v>241</v>
      </c>
      <c r="E124" s="173" t="b">
        <v>1</v>
      </c>
      <c r="F124" s="173" t="s">
        <v>232</v>
      </c>
      <c r="G124" s="173" t="s">
        <v>233</v>
      </c>
      <c r="H124" s="41" t="str">
        <f t="shared" si="18"/>
        <v>East Hampshire Rivers|Dairy|TRUE|700to900|FreeDrain</v>
      </c>
      <c r="I124" s="174">
        <v>0.13138802758252477</v>
      </c>
      <c r="J124" s="174">
        <v>43.500438777289496</v>
      </c>
      <c r="K124" s="33" t="str">
        <f t="shared" si="19"/>
        <v>Dairy|700to900</v>
      </c>
      <c r="L124" s="175">
        <f>AVERAGE(I124:I125)</f>
        <v>0.64774327431567102</v>
      </c>
      <c r="M124" s="176">
        <f>AVERAGE(J124:J125)</f>
        <v>31.52025118789436</v>
      </c>
      <c r="N124" s="174">
        <f>AVERAGE(I124:I126)</f>
        <v>0.49788604296365441</v>
      </c>
      <c r="O124" s="177">
        <f>AVERAGE(J124:J126)</f>
        <v>36.335570571255566</v>
      </c>
      <c r="P124" s="124"/>
    </row>
    <row r="125" spans="2:16" x14ac:dyDescent="0.2">
      <c r="B125" s="123"/>
      <c r="C125" s="173" t="s">
        <v>231</v>
      </c>
      <c r="D125" s="173" t="s">
        <v>241</v>
      </c>
      <c r="E125" s="173" t="b">
        <v>1</v>
      </c>
      <c r="F125" s="173" t="s">
        <v>232</v>
      </c>
      <c r="G125" s="173" t="s">
        <v>235</v>
      </c>
      <c r="H125" s="41" t="str">
        <f t="shared" si="18"/>
        <v>East Hampshire Rivers|Dairy|TRUE|700to900|DrainedArGr</v>
      </c>
      <c r="I125" s="174">
        <v>1.1640985210488173</v>
      </c>
      <c r="J125" s="174">
        <v>19.54006359849922</v>
      </c>
      <c r="K125" s="33" t="str">
        <f t="shared" si="19"/>
        <v>Dairy|700to900</v>
      </c>
      <c r="L125" s="175"/>
      <c r="M125" s="176"/>
      <c r="N125" s="174"/>
      <c r="O125" s="177"/>
      <c r="P125" s="124"/>
    </row>
    <row r="126" spans="2:16" x14ac:dyDescent="0.2">
      <c r="B126" s="123"/>
      <c r="C126" s="173" t="s">
        <v>231</v>
      </c>
      <c r="D126" s="173" t="s">
        <v>241</v>
      </c>
      <c r="E126" s="173" t="b">
        <v>1</v>
      </c>
      <c r="F126" s="173" t="s">
        <v>236</v>
      </c>
      <c r="G126" s="173" t="s">
        <v>233</v>
      </c>
      <c r="H126" s="41" t="str">
        <f t="shared" si="18"/>
        <v>East Hampshire Rivers|Dairy|TRUE|900to1200|FreeDrain</v>
      </c>
      <c r="I126" s="174">
        <v>0.19817158025962103</v>
      </c>
      <c r="J126" s="174">
        <v>45.966209337977986</v>
      </c>
      <c r="K126" s="33" t="str">
        <f t="shared" si="19"/>
        <v>Dairy|900to1200</v>
      </c>
      <c r="L126" s="175">
        <f>AVERAGE(I126)</f>
        <v>0.19817158025962103</v>
      </c>
      <c r="M126" s="176">
        <f>AVERAGE(J126,J411:J412)</f>
        <v>73.618746780384711</v>
      </c>
      <c r="N126" s="174"/>
      <c r="O126" s="177"/>
      <c r="P126" s="124"/>
    </row>
    <row r="127" spans="2:16" x14ac:dyDescent="0.2">
      <c r="B127" s="123"/>
      <c r="C127" s="173" t="s">
        <v>231</v>
      </c>
      <c r="D127" s="173" t="s">
        <v>242</v>
      </c>
      <c r="E127" s="173" t="b">
        <v>0</v>
      </c>
      <c r="F127" s="173" t="s">
        <v>232</v>
      </c>
      <c r="G127" s="173" t="s">
        <v>233</v>
      </c>
      <c r="H127" s="41" t="str">
        <f t="shared" si="18"/>
        <v>East Hampshire Rivers|Lowland|FALSE|700to900|FreeDrain</v>
      </c>
      <c r="I127" s="174">
        <v>7.5593882952292746E-2</v>
      </c>
      <c r="J127" s="174">
        <v>12.886445803910144</v>
      </c>
      <c r="K127" s="33" t="str">
        <f t="shared" si="19"/>
        <v>Lowland|700to900</v>
      </c>
      <c r="L127" s="175">
        <f>AVERAGE(I128,I130,I132)</f>
        <v>0.28699650865383747</v>
      </c>
      <c r="M127" s="176">
        <f>AVERAGE(J128,J130,J132)</f>
        <v>9.9000577867463946</v>
      </c>
      <c r="N127" s="174">
        <f>AVERAGE(I127:I134)</f>
        <v>0.27217231374785678</v>
      </c>
      <c r="O127" s="177">
        <f>AVERAGE(J127:J134)</f>
        <v>10.720448582042582</v>
      </c>
      <c r="P127" s="124"/>
    </row>
    <row r="128" spans="2:16" x14ac:dyDescent="0.2">
      <c r="B128" s="123"/>
      <c r="C128" s="173" t="s">
        <v>231</v>
      </c>
      <c r="D128" s="173" t="s">
        <v>242</v>
      </c>
      <c r="E128" s="173" t="b">
        <v>1</v>
      </c>
      <c r="F128" s="173" t="s">
        <v>232</v>
      </c>
      <c r="G128" s="173" t="s">
        <v>233</v>
      </c>
      <c r="H128" s="41" t="str">
        <f t="shared" si="18"/>
        <v>East Hampshire Rivers|Lowland|TRUE|700to900|FreeDrain</v>
      </c>
      <c r="I128" s="174">
        <v>7.5593714501287101E-2</v>
      </c>
      <c r="J128" s="174">
        <v>12.805270863920716</v>
      </c>
      <c r="K128" s="33" t="str">
        <f t="shared" si="19"/>
        <v>Lowland|700to900</v>
      </c>
      <c r="L128" s="175"/>
      <c r="M128" s="176"/>
      <c r="N128" s="174"/>
      <c r="O128" s="177"/>
      <c r="P128" s="124"/>
    </row>
    <row r="129" spans="2:16" x14ac:dyDescent="0.2">
      <c r="B129" s="123"/>
      <c r="C129" s="173" t="s">
        <v>231</v>
      </c>
      <c r="D129" s="173" t="s">
        <v>242</v>
      </c>
      <c r="E129" s="173" t="b">
        <v>0</v>
      </c>
      <c r="F129" s="173" t="s">
        <v>232</v>
      </c>
      <c r="G129" s="173" t="s">
        <v>234</v>
      </c>
      <c r="H129" s="41" t="str">
        <f t="shared" si="18"/>
        <v>East Hampshire Rivers|Lowland|FALSE|700to900|DrainedAr</v>
      </c>
      <c r="I129" s="174">
        <v>0.18168090899759853</v>
      </c>
      <c r="J129" s="174">
        <v>9.976425105368989</v>
      </c>
      <c r="K129" s="33" t="str">
        <f t="shared" si="19"/>
        <v>Lowland|700to900</v>
      </c>
      <c r="L129" s="175"/>
      <c r="M129" s="176"/>
      <c r="N129" s="174"/>
      <c r="O129" s="177"/>
      <c r="P129" s="124"/>
    </row>
    <row r="130" spans="2:16" x14ac:dyDescent="0.2">
      <c r="B130" s="123"/>
      <c r="C130" s="173" t="s">
        <v>231</v>
      </c>
      <c r="D130" s="173" t="s">
        <v>242</v>
      </c>
      <c r="E130" s="173" t="b">
        <v>1</v>
      </c>
      <c r="F130" s="173" t="s">
        <v>232</v>
      </c>
      <c r="G130" s="173" t="s">
        <v>234</v>
      </c>
      <c r="H130" s="41" t="str">
        <f t="shared" si="18"/>
        <v>East Hampshire Rivers|Lowland|TRUE|700to900|DrainedAr</v>
      </c>
      <c r="I130" s="174">
        <v>0.18168070000499476</v>
      </c>
      <c r="J130" s="174">
        <v>9.9146056215746086</v>
      </c>
      <c r="K130" s="33" t="str">
        <f t="shared" si="19"/>
        <v>Lowland|700to900</v>
      </c>
      <c r="L130" s="175"/>
      <c r="M130" s="176"/>
      <c r="N130" s="174"/>
      <c r="O130" s="177"/>
      <c r="P130" s="124"/>
    </row>
    <row r="131" spans="2:16" x14ac:dyDescent="0.2">
      <c r="B131" s="123"/>
      <c r="C131" s="173" t="s">
        <v>231</v>
      </c>
      <c r="D131" s="173" t="s">
        <v>242</v>
      </c>
      <c r="E131" s="173" t="b">
        <v>0</v>
      </c>
      <c r="F131" s="173" t="s">
        <v>232</v>
      </c>
      <c r="G131" s="173" t="s">
        <v>235</v>
      </c>
      <c r="H131" s="41" t="str">
        <f t="shared" si="18"/>
        <v>East Hampshire Rivers|Lowland|FALSE|700to900|DrainedArGr</v>
      </c>
      <c r="I131" s="174">
        <v>0.60374534406286706</v>
      </c>
      <c r="J131" s="174">
        <v>6.9988992470651796</v>
      </c>
      <c r="K131" s="33" t="str">
        <f t="shared" si="19"/>
        <v>Lowland|700to900</v>
      </c>
      <c r="L131" s="175"/>
      <c r="M131" s="176"/>
      <c r="N131" s="174"/>
      <c r="O131" s="177"/>
      <c r="P131" s="124"/>
    </row>
    <row r="132" spans="2:16" x14ac:dyDescent="0.2">
      <c r="B132" s="123"/>
      <c r="C132" s="173" t="s">
        <v>231</v>
      </c>
      <c r="D132" s="173" t="s">
        <v>242</v>
      </c>
      <c r="E132" s="173" t="b">
        <v>1</v>
      </c>
      <c r="F132" s="173" t="s">
        <v>232</v>
      </c>
      <c r="G132" s="173" t="s">
        <v>235</v>
      </c>
      <c r="H132" s="41" t="str">
        <f t="shared" si="18"/>
        <v>East Hampshire Rivers|Lowland|TRUE|700to900|DrainedArGr</v>
      </c>
      <c r="I132" s="174">
        <v>0.60371511145523049</v>
      </c>
      <c r="J132" s="174">
        <v>6.9802968747438552</v>
      </c>
      <c r="K132" s="33" t="str">
        <f t="shared" si="19"/>
        <v>Lowland|700to900</v>
      </c>
      <c r="L132" s="175"/>
      <c r="M132" s="176"/>
      <c r="N132" s="174"/>
      <c r="O132" s="177"/>
      <c r="P132" s="124"/>
    </row>
    <row r="133" spans="2:16" x14ac:dyDescent="0.2">
      <c r="B133" s="123"/>
      <c r="C133" s="173" t="s">
        <v>231</v>
      </c>
      <c r="D133" s="173" t="s">
        <v>242</v>
      </c>
      <c r="E133" s="173" t="b">
        <v>1</v>
      </c>
      <c r="F133" s="173" t="s">
        <v>236</v>
      </c>
      <c r="G133" s="173" t="s">
        <v>233</v>
      </c>
      <c r="H133" s="41" t="str">
        <f t="shared" si="18"/>
        <v>East Hampshire Rivers|Lowland|TRUE|900to1200|FreeDrain</v>
      </c>
      <c r="I133" s="174">
        <v>0.12474981549133182</v>
      </c>
      <c r="J133" s="174">
        <v>13.622593299317037</v>
      </c>
      <c r="K133" s="33" t="str">
        <f t="shared" si="19"/>
        <v>Lowland|900to1200</v>
      </c>
      <c r="L133" s="175">
        <f>AVERAGE(I133:I134)</f>
        <v>0.22768442400429162</v>
      </c>
      <c r="M133" s="176">
        <f>AVERAGE(J133:J134,J231)</f>
        <v>11.169419303955943</v>
      </c>
      <c r="N133" s="174"/>
      <c r="O133" s="177"/>
      <c r="P133" s="124"/>
    </row>
    <row r="134" spans="2:16" x14ac:dyDescent="0.2">
      <c r="B134" s="123"/>
      <c r="C134" s="173" t="s">
        <v>231</v>
      </c>
      <c r="D134" s="173" t="s">
        <v>242</v>
      </c>
      <c r="E134" s="173" t="b">
        <v>1</v>
      </c>
      <c r="F134" s="173" t="s">
        <v>236</v>
      </c>
      <c r="G134" s="173" t="s">
        <v>234</v>
      </c>
      <c r="H134" s="41" t="str">
        <f t="shared" si="18"/>
        <v>East Hampshire Rivers|Lowland|TRUE|900to1200|DrainedAr</v>
      </c>
      <c r="I134" s="174">
        <v>0.33061903251725139</v>
      </c>
      <c r="J134" s="174">
        <v>12.579051840440126</v>
      </c>
      <c r="K134" s="33" t="str">
        <f t="shared" si="19"/>
        <v>Lowland|900to1200</v>
      </c>
      <c r="L134" s="175"/>
      <c r="M134" s="176"/>
      <c r="N134" s="174"/>
      <c r="O134" s="177"/>
      <c r="P134" s="124"/>
    </row>
    <row r="135" spans="2:16" x14ac:dyDescent="0.2">
      <c r="B135" s="123"/>
      <c r="C135" s="173" t="s">
        <v>231</v>
      </c>
      <c r="D135" s="173" t="s">
        <v>243</v>
      </c>
      <c r="E135" s="173" t="b">
        <v>1</v>
      </c>
      <c r="F135" s="173" t="s">
        <v>232</v>
      </c>
      <c r="G135" s="173" t="s">
        <v>233</v>
      </c>
      <c r="H135" s="41" t="str">
        <f t="shared" si="18"/>
        <v>East Hampshire Rivers|Mixed|TRUE|700to900|FreeDrain</v>
      </c>
      <c r="I135" s="174">
        <v>0.10650020328242837</v>
      </c>
      <c r="J135" s="174">
        <v>24.767052715413215</v>
      </c>
      <c r="K135" s="33" t="str">
        <f t="shared" si="19"/>
        <v>Mixed|700to900</v>
      </c>
      <c r="L135" s="175">
        <f>AVERAGE(I135:I137)</f>
        <v>0.49483225359477689</v>
      </c>
      <c r="M135" s="176">
        <f>AVERAGE(J135:J137)</f>
        <v>19.979952111029601</v>
      </c>
      <c r="N135" s="174">
        <f>AVERAGE(I135:I138)</f>
        <v>0.41692629656361274</v>
      </c>
      <c r="O135" s="177">
        <f>AVERAGE(J135:J138)</f>
        <v>21.558086846493104</v>
      </c>
      <c r="P135" s="124"/>
    </row>
    <row r="136" spans="2:16" x14ac:dyDescent="0.2">
      <c r="B136" s="123"/>
      <c r="C136" s="173" t="s">
        <v>231</v>
      </c>
      <c r="D136" s="173" t="s">
        <v>243</v>
      </c>
      <c r="E136" s="173" t="b">
        <v>1</v>
      </c>
      <c r="F136" s="173" t="s">
        <v>232</v>
      </c>
      <c r="G136" s="173" t="s">
        <v>234</v>
      </c>
      <c r="H136" s="41" t="str">
        <f t="shared" si="18"/>
        <v>East Hampshire Rivers|Mixed|TRUE|700to900|DrainedAr</v>
      </c>
      <c r="I136" s="174">
        <v>0.50695962820081242</v>
      </c>
      <c r="J136" s="174">
        <v>19.036764759049102</v>
      </c>
      <c r="K136" s="33" t="str">
        <f t="shared" si="19"/>
        <v>Mixed|700to900</v>
      </c>
      <c r="L136" s="175"/>
      <c r="M136" s="176"/>
      <c r="N136" s="174"/>
      <c r="O136" s="177"/>
      <c r="P136" s="124"/>
    </row>
    <row r="137" spans="2:16" x14ac:dyDescent="0.2">
      <c r="B137" s="123"/>
      <c r="C137" s="173" t="s">
        <v>231</v>
      </c>
      <c r="D137" s="173" t="s">
        <v>243</v>
      </c>
      <c r="E137" s="173" t="b">
        <v>1</v>
      </c>
      <c r="F137" s="173" t="s">
        <v>232</v>
      </c>
      <c r="G137" s="173" t="s">
        <v>235</v>
      </c>
      <c r="H137" s="41" t="str">
        <f t="shared" si="18"/>
        <v>East Hampshire Rivers|Mixed|TRUE|700to900|DrainedArGr</v>
      </c>
      <c r="I137" s="174">
        <v>0.87103692930108989</v>
      </c>
      <c r="J137" s="174">
        <v>16.136038858626478</v>
      </c>
      <c r="K137" s="33" t="str">
        <f t="shared" si="19"/>
        <v>Mixed|700to900</v>
      </c>
      <c r="L137" s="175"/>
      <c r="M137" s="176"/>
      <c r="N137" s="174"/>
      <c r="O137" s="177"/>
      <c r="P137" s="124"/>
    </row>
    <row r="138" spans="2:16" x14ac:dyDescent="0.2">
      <c r="B138" s="123"/>
      <c r="C138" s="173" t="s">
        <v>231</v>
      </c>
      <c r="D138" s="173" t="s">
        <v>243</v>
      </c>
      <c r="E138" s="173" t="b">
        <v>1</v>
      </c>
      <c r="F138" s="173" t="s">
        <v>236</v>
      </c>
      <c r="G138" s="173" t="s">
        <v>233</v>
      </c>
      <c r="H138" s="41" t="str">
        <f t="shared" si="18"/>
        <v>East Hampshire Rivers|Mixed|TRUE|900to1200|FreeDrain</v>
      </c>
      <c r="I138" s="174">
        <v>0.18320842547012028</v>
      </c>
      <c r="J138" s="174">
        <v>26.292491052883626</v>
      </c>
      <c r="K138" s="33" t="str">
        <f t="shared" si="19"/>
        <v>Mixed|900to1200</v>
      </c>
      <c r="L138" s="175">
        <f>AVERAGE(I138)</f>
        <v>0.18320842547012028</v>
      </c>
      <c r="M138" s="176">
        <f>AVERAGE(J138,J435:J436)</f>
        <v>31.543447301251987</v>
      </c>
      <c r="N138" s="174"/>
      <c r="O138" s="177"/>
      <c r="P138" s="124"/>
    </row>
    <row r="139" spans="2:16" x14ac:dyDescent="0.2">
      <c r="B139" s="123"/>
      <c r="C139" s="173" t="s">
        <v>107</v>
      </c>
      <c r="D139" s="173" t="s">
        <v>117</v>
      </c>
      <c r="E139" s="173" t="b">
        <v>0</v>
      </c>
      <c r="F139" s="173" t="s">
        <v>232</v>
      </c>
      <c r="G139" s="173" t="s">
        <v>233</v>
      </c>
      <c r="H139" s="41" t="str">
        <f t="shared" si="18"/>
        <v>Isle of Wight Rivers|Cereals|FALSE|700to900|FreeDrain</v>
      </c>
      <c r="I139" s="174">
        <v>0.14392634193230619</v>
      </c>
      <c r="J139" s="174">
        <v>25.701549634946634</v>
      </c>
      <c r="K139" s="33" t="str">
        <f t="shared" si="19"/>
        <v>Cereals|700to900</v>
      </c>
      <c r="L139" s="175">
        <f>AVERAGE(I139,I141,I143)</f>
        <v>0.59292354852337059</v>
      </c>
      <c r="M139" s="176">
        <f>AVERAGE(J139,J141,J143)</f>
        <v>21.283448774911303</v>
      </c>
      <c r="N139" s="174">
        <f>AVERAGE(I139:I145)</f>
        <v>0.5446934436193418</v>
      </c>
      <c r="O139" s="177">
        <f>AVERAGE(J139:J145)</f>
        <v>22.104412704620753</v>
      </c>
      <c r="P139" s="124"/>
    </row>
    <row r="140" spans="2:16" x14ac:dyDescent="0.2">
      <c r="B140" s="123"/>
      <c r="C140" s="173" t="s">
        <v>107</v>
      </c>
      <c r="D140" s="173" t="s">
        <v>117</v>
      </c>
      <c r="E140" s="173" t="b">
        <v>1</v>
      </c>
      <c r="F140" s="173" t="s">
        <v>232</v>
      </c>
      <c r="G140" s="173" t="s">
        <v>233</v>
      </c>
      <c r="H140" s="41" t="str">
        <f t="shared" si="18"/>
        <v>Isle of Wight Rivers|Cereals|TRUE|700to900|FreeDrain</v>
      </c>
      <c r="I140" s="174">
        <v>0.14391461298858221</v>
      </c>
      <c r="J140" s="174">
        <v>25.617103086056701</v>
      </c>
      <c r="K140" s="33" t="str">
        <f t="shared" si="19"/>
        <v>Cereals|700to900</v>
      </c>
      <c r="L140" s="175"/>
      <c r="M140" s="176"/>
      <c r="N140" s="174"/>
      <c r="O140" s="177"/>
      <c r="P140" s="124"/>
    </row>
    <row r="141" spans="2:16" x14ac:dyDescent="0.2">
      <c r="B141" s="123"/>
      <c r="C141" s="173" t="s">
        <v>107</v>
      </c>
      <c r="D141" s="173" t="s">
        <v>117</v>
      </c>
      <c r="E141" s="173" t="b">
        <v>0</v>
      </c>
      <c r="F141" s="173" t="s">
        <v>232</v>
      </c>
      <c r="G141" s="173" t="s">
        <v>234</v>
      </c>
      <c r="H141" s="41" t="str">
        <f t="shared" si="18"/>
        <v>Isle of Wight Rivers|Cereals|FALSE|700to900|DrainedAr</v>
      </c>
      <c r="I141" s="174">
        <v>0.68207679662481846</v>
      </c>
      <c r="J141" s="174">
        <v>19.794396868547803</v>
      </c>
      <c r="K141" s="33" t="str">
        <f t="shared" si="19"/>
        <v>Cereals|700to900</v>
      </c>
      <c r="L141" s="175"/>
      <c r="M141" s="176"/>
      <c r="N141" s="174"/>
      <c r="O141" s="177"/>
      <c r="P141" s="124"/>
    </row>
    <row r="142" spans="2:16" x14ac:dyDescent="0.2">
      <c r="B142" s="123"/>
      <c r="C142" s="173" t="s">
        <v>107</v>
      </c>
      <c r="D142" s="173" t="s">
        <v>117</v>
      </c>
      <c r="E142" s="173" t="b">
        <v>1</v>
      </c>
      <c r="F142" s="173" t="s">
        <v>232</v>
      </c>
      <c r="G142" s="173" t="s">
        <v>234</v>
      </c>
      <c r="H142" s="41" t="str">
        <f t="shared" si="18"/>
        <v>Isle of Wight Rivers|Cereals|TRUE|700to900|DrainedAr</v>
      </c>
      <c r="I142" s="174">
        <v>0.6820092162497986</v>
      </c>
      <c r="J142" s="174">
        <v>19.735321799142319</v>
      </c>
      <c r="K142" s="33" t="str">
        <f t="shared" si="19"/>
        <v>Cereals|700to900</v>
      </c>
      <c r="L142" s="175"/>
      <c r="M142" s="176"/>
      <c r="N142" s="174"/>
      <c r="O142" s="177"/>
      <c r="P142" s="124"/>
    </row>
    <row r="143" spans="2:16" x14ac:dyDescent="0.2">
      <c r="B143" s="123"/>
      <c r="C143" s="173" t="s">
        <v>107</v>
      </c>
      <c r="D143" s="173" t="s">
        <v>117</v>
      </c>
      <c r="E143" s="173" t="b">
        <v>0</v>
      </c>
      <c r="F143" s="173" t="s">
        <v>232</v>
      </c>
      <c r="G143" s="173" t="s">
        <v>235</v>
      </c>
      <c r="H143" s="41" t="str">
        <f t="shared" si="18"/>
        <v>Isle of Wight Rivers|Cereals|FALSE|700to900|DrainedArGr</v>
      </c>
      <c r="I143" s="174">
        <v>0.95276750701298718</v>
      </c>
      <c r="J143" s="174">
        <v>18.354399821239472</v>
      </c>
      <c r="K143" s="33" t="str">
        <f t="shared" si="19"/>
        <v>Cereals|700to900</v>
      </c>
      <c r="L143" s="175"/>
      <c r="M143" s="176"/>
      <c r="N143" s="174"/>
      <c r="O143" s="177"/>
      <c r="P143" s="124"/>
    </row>
    <row r="144" spans="2:16" x14ac:dyDescent="0.2">
      <c r="B144" s="123"/>
      <c r="C144" s="173" t="s">
        <v>107</v>
      </c>
      <c r="D144" s="173" t="s">
        <v>117</v>
      </c>
      <c r="E144" s="173" t="b">
        <v>1</v>
      </c>
      <c r="F144" s="173" t="s">
        <v>232</v>
      </c>
      <c r="G144" s="173" t="s">
        <v>235</v>
      </c>
      <c r="H144" s="41" t="str">
        <f t="shared" si="18"/>
        <v>Isle of Wight Rivers|Cereals|TRUE|700to900|DrainedArGr</v>
      </c>
      <c r="I144" s="174">
        <v>0.9526141129820922</v>
      </c>
      <c r="J144" s="174">
        <v>18.305596931560448</v>
      </c>
      <c r="K144" s="33" t="str">
        <f t="shared" si="19"/>
        <v>Cereals|700to900</v>
      </c>
      <c r="L144" s="175"/>
      <c r="M144" s="176"/>
      <c r="N144" s="174"/>
      <c r="O144" s="177"/>
      <c r="P144" s="124"/>
    </row>
    <row r="145" spans="2:16" x14ac:dyDescent="0.2">
      <c r="B145" s="123"/>
      <c r="C145" s="173" t="s">
        <v>107</v>
      </c>
      <c r="D145" s="173" t="s">
        <v>117</v>
      </c>
      <c r="E145" s="173" t="b">
        <v>1</v>
      </c>
      <c r="F145" s="173" t="s">
        <v>236</v>
      </c>
      <c r="G145" s="173" t="s">
        <v>233</v>
      </c>
      <c r="H145" s="41" t="str">
        <f t="shared" si="18"/>
        <v>Isle of Wight Rivers|Cereals|TRUE|900to1200|FreeDrain</v>
      </c>
      <c r="I145" s="174">
        <v>0.25554551754480759</v>
      </c>
      <c r="J145" s="174">
        <v>27.222520790851899</v>
      </c>
      <c r="K145" s="33" t="str">
        <f t="shared" si="19"/>
        <v>Cereals|900to1200</v>
      </c>
      <c r="L145" s="175">
        <f>AVERAGE(I145:I146)</f>
        <v>0.89965122935600761</v>
      </c>
      <c r="M145" s="176">
        <f>AVERAGE(J145:J146)</f>
        <v>24.168159812206987</v>
      </c>
      <c r="N145" s="174"/>
      <c r="O145" s="177"/>
      <c r="P145" s="124"/>
    </row>
    <row r="146" spans="2:16" x14ac:dyDescent="0.2">
      <c r="B146" s="123"/>
      <c r="C146" s="173" t="s">
        <v>107</v>
      </c>
      <c r="D146" s="173" t="s">
        <v>117</v>
      </c>
      <c r="E146" s="173" t="b">
        <v>1</v>
      </c>
      <c r="F146" s="173" t="s">
        <v>236</v>
      </c>
      <c r="G146" s="173" t="s">
        <v>235</v>
      </c>
      <c r="H146" s="41" t="str">
        <f t="shared" si="18"/>
        <v>Isle of Wight Rivers|Cereals|TRUE|900to1200|DrainedArGr</v>
      </c>
      <c r="I146" s="174">
        <v>1.5437569411672076</v>
      </c>
      <c r="J146" s="174">
        <v>21.113798833562072</v>
      </c>
      <c r="K146" s="33" t="str">
        <f t="shared" si="19"/>
        <v>Cereals|900to1200</v>
      </c>
      <c r="L146" s="175"/>
      <c r="M146" s="176"/>
      <c r="N146" s="174"/>
      <c r="O146" s="177"/>
      <c r="P146" s="124"/>
    </row>
    <row r="147" spans="2:16" x14ac:dyDescent="0.2">
      <c r="B147" s="123"/>
      <c r="C147" s="173" t="s">
        <v>107</v>
      </c>
      <c r="D147" s="173" t="s">
        <v>237</v>
      </c>
      <c r="E147" s="173" t="b">
        <v>0</v>
      </c>
      <c r="F147" s="173" t="s">
        <v>232</v>
      </c>
      <c r="G147" s="173" t="s">
        <v>233</v>
      </c>
      <c r="H147" s="41" t="str">
        <f t="shared" si="18"/>
        <v>Isle of Wight Rivers|General|FALSE|700to900|FreeDrain</v>
      </c>
      <c r="I147" s="174">
        <v>0.11204810184629693</v>
      </c>
      <c r="J147" s="174">
        <v>21.081443287399139</v>
      </c>
      <c r="K147" s="33" t="str">
        <f t="shared" si="19"/>
        <v>General|700to900</v>
      </c>
      <c r="L147" s="175">
        <f>AVERAGE(I147,I150,I152)</f>
        <v>0.42880454141655616</v>
      </c>
      <c r="M147" s="176">
        <f>AVERAGE(J147,J150,J152)</f>
        <v>16.729520222636413</v>
      </c>
      <c r="N147" s="174">
        <f>AVERAGE(I147:I156)</f>
        <v>0.90922100290712782</v>
      </c>
      <c r="O147" s="177">
        <f>AVERAGE(J147:J156)</f>
        <v>18.847470199782347</v>
      </c>
      <c r="P147" s="124"/>
    </row>
    <row r="148" spans="2:16" x14ac:dyDescent="0.2">
      <c r="B148" s="123"/>
      <c r="C148" s="173" t="s">
        <v>107</v>
      </c>
      <c r="D148" s="173" t="s">
        <v>237</v>
      </c>
      <c r="E148" s="173" t="b">
        <v>1</v>
      </c>
      <c r="F148" s="173" t="s">
        <v>232</v>
      </c>
      <c r="G148" s="173" t="s">
        <v>233</v>
      </c>
      <c r="H148" s="41" t="str">
        <f t="shared" si="18"/>
        <v>Isle of Wight Rivers|General|TRUE|700to900|FreeDrain</v>
      </c>
      <c r="I148" s="174">
        <v>0.11204810184629693</v>
      </c>
      <c r="J148" s="174">
        <v>21.02245797623991</v>
      </c>
      <c r="K148" s="33" t="str">
        <f t="shared" si="19"/>
        <v>General|700to900</v>
      </c>
      <c r="L148" s="175"/>
      <c r="M148" s="176"/>
      <c r="N148" s="174"/>
      <c r="O148" s="177"/>
      <c r="P148" s="124"/>
    </row>
    <row r="149" spans="2:16" x14ac:dyDescent="0.2">
      <c r="B149" s="123"/>
      <c r="C149" s="173" t="s">
        <v>107</v>
      </c>
      <c r="D149" s="173" t="s">
        <v>237</v>
      </c>
      <c r="E149" s="173" t="b">
        <v>0</v>
      </c>
      <c r="F149" s="173" t="s">
        <v>232</v>
      </c>
      <c r="G149" s="173" t="s">
        <v>234</v>
      </c>
      <c r="H149" s="41" t="str">
        <f t="shared" si="18"/>
        <v>Isle of Wight Rivers|General|FALSE|700to900|DrainedAr</v>
      </c>
      <c r="I149" s="174">
        <v>0.46049859635612966</v>
      </c>
      <c r="J149" s="174">
        <v>15.463223624803312</v>
      </c>
      <c r="K149" s="33" t="str">
        <f t="shared" si="19"/>
        <v>General|700to900</v>
      </c>
      <c r="L149" s="175"/>
      <c r="M149" s="176"/>
      <c r="N149" s="174"/>
      <c r="O149" s="177"/>
      <c r="P149" s="124"/>
    </row>
    <row r="150" spans="2:16" x14ac:dyDescent="0.2">
      <c r="B150" s="123"/>
      <c r="C150" s="173" t="s">
        <v>107</v>
      </c>
      <c r="D150" s="173" t="s">
        <v>237</v>
      </c>
      <c r="E150" s="173" t="b">
        <v>1</v>
      </c>
      <c r="F150" s="173" t="s">
        <v>232</v>
      </c>
      <c r="G150" s="173" t="s">
        <v>234</v>
      </c>
      <c r="H150" s="41" t="str">
        <f t="shared" si="18"/>
        <v>Isle of Wight Rivers|General|TRUE|700to900|DrainedAr</v>
      </c>
      <c r="I150" s="174">
        <v>0.46049859635612966</v>
      </c>
      <c r="J150" s="174">
        <v>15.424109019807302</v>
      </c>
      <c r="K150" s="33" t="str">
        <f t="shared" si="19"/>
        <v>General|700to900</v>
      </c>
      <c r="L150" s="175"/>
      <c r="M150" s="176"/>
      <c r="N150" s="174"/>
      <c r="O150" s="177"/>
      <c r="P150" s="124"/>
    </row>
    <row r="151" spans="2:16" x14ac:dyDescent="0.2">
      <c r="B151" s="123"/>
      <c r="C151" s="173" t="s">
        <v>107</v>
      </c>
      <c r="D151" s="173" t="s">
        <v>237</v>
      </c>
      <c r="E151" s="173" t="b">
        <v>0</v>
      </c>
      <c r="F151" s="173" t="s">
        <v>232</v>
      </c>
      <c r="G151" s="173" t="s">
        <v>235</v>
      </c>
      <c r="H151" s="41" t="str">
        <f t="shared" si="18"/>
        <v>Isle of Wight Rivers|General|FALSE|700to900|DrainedArGr</v>
      </c>
      <c r="I151" s="174">
        <v>0.71386692604724189</v>
      </c>
      <c r="J151" s="174">
        <v>13.714222337522841</v>
      </c>
      <c r="K151" s="33" t="str">
        <f t="shared" si="19"/>
        <v>General|700to900</v>
      </c>
      <c r="L151" s="175"/>
      <c r="M151" s="176"/>
      <c r="N151" s="174"/>
      <c r="O151" s="177"/>
      <c r="P151" s="124"/>
    </row>
    <row r="152" spans="2:16" x14ac:dyDescent="0.2">
      <c r="B152" s="123"/>
      <c r="C152" s="173" t="s">
        <v>107</v>
      </c>
      <c r="D152" s="173" t="s">
        <v>237</v>
      </c>
      <c r="E152" s="173" t="b">
        <v>1</v>
      </c>
      <c r="F152" s="173" t="s">
        <v>232</v>
      </c>
      <c r="G152" s="173" t="s">
        <v>235</v>
      </c>
      <c r="H152" s="41" t="str">
        <f t="shared" si="18"/>
        <v>Isle of Wight Rivers|General|TRUE|700to900|DrainedArGr</v>
      </c>
      <c r="I152" s="174">
        <v>0.71386692604724189</v>
      </c>
      <c r="J152" s="174">
        <v>13.683008360702804</v>
      </c>
      <c r="K152" s="33" t="str">
        <f t="shared" si="19"/>
        <v>General|700to900</v>
      </c>
      <c r="L152" s="175"/>
      <c r="M152" s="176"/>
      <c r="N152" s="174"/>
      <c r="O152" s="177"/>
      <c r="P152" s="124"/>
    </row>
    <row r="153" spans="2:16" x14ac:dyDescent="0.2">
      <c r="B153" s="123"/>
      <c r="C153" s="173" t="s">
        <v>107</v>
      </c>
      <c r="D153" s="173" t="s">
        <v>237</v>
      </c>
      <c r="E153" s="173" t="b">
        <v>1</v>
      </c>
      <c r="F153" s="173" t="s">
        <v>236</v>
      </c>
      <c r="G153" s="173" t="s">
        <v>233</v>
      </c>
      <c r="H153" s="41" t="str">
        <f t="shared" si="18"/>
        <v>Isle of Wight Rivers|General|TRUE|900to1200|FreeDrain</v>
      </c>
      <c r="I153" s="174">
        <v>0.20315616369215081</v>
      </c>
      <c r="J153" s="174">
        <v>22.397683080263334</v>
      </c>
      <c r="K153" s="33" t="str">
        <f t="shared" si="19"/>
        <v>General|900to1200</v>
      </c>
      <c r="L153" s="175">
        <f>AVERAGE(I153:I154)</f>
        <v>0.69686873242473568</v>
      </c>
      <c r="M153" s="176">
        <f>AVERAGE(J153:J154)</f>
        <v>18.99965618683126</v>
      </c>
      <c r="N153" s="174"/>
      <c r="O153" s="177"/>
      <c r="P153" s="124"/>
    </row>
    <row r="154" spans="2:16" x14ac:dyDescent="0.2">
      <c r="B154" s="123"/>
      <c r="C154" s="173" t="s">
        <v>107</v>
      </c>
      <c r="D154" s="173" t="s">
        <v>237</v>
      </c>
      <c r="E154" s="173" t="b">
        <v>1</v>
      </c>
      <c r="F154" s="173" t="s">
        <v>236</v>
      </c>
      <c r="G154" s="173" t="s">
        <v>235</v>
      </c>
      <c r="H154" s="41" t="str">
        <f t="shared" si="18"/>
        <v>Isle of Wight Rivers|General|TRUE|900to1200|DrainedArGr</v>
      </c>
      <c r="I154" s="174">
        <v>1.1905813011573205</v>
      </c>
      <c r="J154" s="174">
        <v>15.601629293399188</v>
      </c>
      <c r="K154" s="33" t="str">
        <f t="shared" si="19"/>
        <v>General|900to1200</v>
      </c>
      <c r="L154" s="175"/>
      <c r="M154" s="176"/>
      <c r="N154" s="174"/>
      <c r="O154" s="177"/>
      <c r="P154" s="124"/>
    </row>
    <row r="155" spans="2:16" x14ac:dyDescent="0.2">
      <c r="B155" s="123"/>
      <c r="C155" s="173" t="s">
        <v>107</v>
      </c>
      <c r="D155" s="173" t="s">
        <v>237</v>
      </c>
      <c r="E155" s="173" t="b">
        <v>0</v>
      </c>
      <c r="F155" s="173" t="s">
        <v>244</v>
      </c>
      <c r="G155" s="173" t="s">
        <v>234</v>
      </c>
      <c r="H155" s="41" t="str">
        <f t="shared" si="18"/>
        <v>Isle of Wight Rivers|General|FALSE|Over1500|DrainedAr</v>
      </c>
      <c r="I155" s="174">
        <v>1.8663246450102946</v>
      </c>
      <c r="J155" s="174">
        <v>27.682993339851059</v>
      </c>
      <c r="K155" s="33" t="str">
        <f t="shared" si="19"/>
        <v>General|Over1500</v>
      </c>
      <c r="L155" s="175">
        <f>AVERAGE(I155:I156)</f>
        <v>2.5628226578612345</v>
      </c>
      <c r="M155" s="176">
        <f>AVERAGE(J155:J156)</f>
        <v>25.043462508842815</v>
      </c>
      <c r="N155" s="174"/>
      <c r="O155" s="177"/>
      <c r="P155" s="124"/>
    </row>
    <row r="156" spans="2:16" x14ac:dyDescent="0.2">
      <c r="B156" s="123"/>
      <c r="C156" s="173" t="s">
        <v>107</v>
      </c>
      <c r="D156" s="173" t="s">
        <v>237</v>
      </c>
      <c r="E156" s="173" t="b">
        <v>1</v>
      </c>
      <c r="F156" s="173" t="s">
        <v>244</v>
      </c>
      <c r="G156" s="173" t="s">
        <v>235</v>
      </c>
      <c r="H156" s="41" t="str">
        <f t="shared" si="18"/>
        <v>Isle of Wight Rivers|General|TRUE|Over1500|DrainedArGr</v>
      </c>
      <c r="I156" s="174">
        <v>3.2593206707121745</v>
      </c>
      <c r="J156" s="174">
        <v>22.403931677834574</v>
      </c>
      <c r="K156" s="33" t="str">
        <f t="shared" si="19"/>
        <v>General|Over1500</v>
      </c>
      <c r="L156" s="175"/>
      <c r="M156" s="176"/>
      <c r="N156" s="174"/>
      <c r="O156" s="177"/>
      <c r="P156" s="124"/>
    </row>
    <row r="157" spans="2:16" x14ac:dyDescent="0.2">
      <c r="B157" s="123"/>
      <c r="C157" s="173" t="s">
        <v>107</v>
      </c>
      <c r="D157" s="173" t="s">
        <v>238</v>
      </c>
      <c r="E157" s="173" t="b">
        <v>0</v>
      </c>
      <c r="F157" s="173" t="s">
        <v>232</v>
      </c>
      <c r="G157" s="173" t="s">
        <v>233</v>
      </c>
      <c r="H157" s="41" t="str">
        <f t="shared" si="18"/>
        <v>Isle of Wight Rivers|Horticulture|FALSE|700to900|FreeDrain</v>
      </c>
      <c r="I157" s="174">
        <v>0.12336551468465934</v>
      </c>
      <c r="J157" s="174">
        <v>21.322359676447334</v>
      </c>
      <c r="K157" s="33" t="str">
        <f t="shared" si="19"/>
        <v>Horticulture|700to900</v>
      </c>
      <c r="L157" s="175">
        <f>AVERAGE(I157,I159,I161)</f>
        <v>0.503386688977011</v>
      </c>
      <c r="M157" s="176">
        <f>AVERAGE(J157,J159,J161)</f>
        <v>16.810517902902518</v>
      </c>
      <c r="N157" s="174">
        <f>AVERAGE(I157:I162)</f>
        <v>0.4039580142322729</v>
      </c>
      <c r="O157" s="177">
        <f>AVERAGE(J157:J162)</f>
        <v>18.314794769912815</v>
      </c>
      <c r="P157" s="124"/>
    </row>
    <row r="158" spans="2:16" x14ac:dyDescent="0.2">
      <c r="B158" s="123"/>
      <c r="C158" s="173" t="s">
        <v>107</v>
      </c>
      <c r="D158" s="173" t="s">
        <v>238</v>
      </c>
      <c r="E158" s="173" t="b">
        <v>1</v>
      </c>
      <c r="F158" s="173" t="s">
        <v>232</v>
      </c>
      <c r="G158" s="173" t="s">
        <v>233</v>
      </c>
      <c r="H158" s="41" t="str">
        <f t="shared" ref="H158:H221" si="20">C158&amp;"|"&amp;D158&amp;"|"&amp;E158&amp;"|"&amp;F158&amp;"|"&amp;G158</f>
        <v>Isle of Wight Rivers|Horticulture|TRUE|700to900|FreeDrain</v>
      </c>
      <c r="I158" s="174">
        <v>0.12336551468465934</v>
      </c>
      <c r="J158" s="174">
        <v>21.260511349320147</v>
      </c>
      <c r="K158" s="33" t="str">
        <f t="shared" ref="K158:K221" si="21">D158&amp;"|"&amp;F158&amp;""</f>
        <v>Horticulture|700to900</v>
      </c>
      <c r="L158" s="175"/>
      <c r="M158" s="176"/>
      <c r="N158" s="174"/>
      <c r="O158" s="177"/>
      <c r="P158" s="124"/>
    </row>
    <row r="159" spans="2:16" x14ac:dyDescent="0.2">
      <c r="B159" s="123"/>
      <c r="C159" s="173" t="s">
        <v>107</v>
      </c>
      <c r="D159" s="173" t="s">
        <v>238</v>
      </c>
      <c r="E159" s="173" t="b">
        <v>0</v>
      </c>
      <c r="F159" s="173" t="s">
        <v>232</v>
      </c>
      <c r="G159" s="173" t="s">
        <v>234</v>
      </c>
      <c r="H159" s="41" t="str">
        <f t="shared" si="20"/>
        <v>Isle of Wight Rivers|Horticulture|FALSE|700to900|DrainedAr</v>
      </c>
      <c r="I159" s="174">
        <v>0.56481198614087269</v>
      </c>
      <c r="J159" s="174">
        <v>15.467705626671044</v>
      </c>
      <c r="K159" s="33" t="str">
        <f t="shared" si="21"/>
        <v>Horticulture|700to900</v>
      </c>
      <c r="L159" s="175"/>
      <c r="M159" s="176"/>
      <c r="N159" s="174"/>
      <c r="O159" s="177"/>
      <c r="P159" s="124"/>
    </row>
    <row r="160" spans="2:16" x14ac:dyDescent="0.2">
      <c r="B160" s="123"/>
      <c r="C160" s="173" t="s">
        <v>107</v>
      </c>
      <c r="D160" s="173" t="s">
        <v>238</v>
      </c>
      <c r="E160" s="173" t="b">
        <v>1</v>
      </c>
      <c r="F160" s="173" t="s">
        <v>232</v>
      </c>
      <c r="G160" s="173" t="s">
        <v>234</v>
      </c>
      <c r="H160" s="41" t="str">
        <f t="shared" si="20"/>
        <v>Isle of Wight Rivers|Horticulture|TRUE|700to900|DrainedAr</v>
      </c>
      <c r="I160" s="174">
        <v>0.56481198614087269</v>
      </c>
      <c r="J160" s="174">
        <v>15.426807698426805</v>
      </c>
      <c r="K160" s="33" t="str">
        <f t="shared" si="21"/>
        <v>Horticulture|700to900</v>
      </c>
      <c r="L160" s="175"/>
      <c r="M160" s="176"/>
      <c r="N160" s="174"/>
      <c r="O160" s="177"/>
      <c r="P160" s="124"/>
    </row>
    <row r="161" spans="2:16" x14ac:dyDescent="0.2">
      <c r="B161" s="123"/>
      <c r="C161" s="173" t="s">
        <v>107</v>
      </c>
      <c r="D161" s="173" t="s">
        <v>238</v>
      </c>
      <c r="E161" s="173" t="b">
        <v>0</v>
      </c>
      <c r="F161" s="173" t="s">
        <v>232</v>
      </c>
      <c r="G161" s="173" t="s">
        <v>235</v>
      </c>
      <c r="H161" s="41" t="str">
        <f t="shared" si="20"/>
        <v>Isle of Wight Rivers|Horticulture|FALSE|700to900|DrainedArGr</v>
      </c>
      <c r="I161" s="174">
        <v>0.82198256610550124</v>
      </c>
      <c r="J161" s="174">
        <v>13.641488405589175</v>
      </c>
      <c r="K161" s="33" t="str">
        <f t="shared" si="21"/>
        <v>Horticulture|700to900</v>
      </c>
      <c r="L161" s="175"/>
      <c r="M161" s="176"/>
      <c r="N161" s="174"/>
      <c r="O161" s="177"/>
      <c r="P161" s="124"/>
    </row>
    <row r="162" spans="2:16" x14ac:dyDescent="0.2">
      <c r="B162" s="123"/>
      <c r="C162" s="173" t="s">
        <v>107</v>
      </c>
      <c r="D162" s="173" t="s">
        <v>238</v>
      </c>
      <c r="E162" s="173" t="b">
        <v>1</v>
      </c>
      <c r="F162" s="173" t="s">
        <v>236</v>
      </c>
      <c r="G162" s="173" t="s">
        <v>233</v>
      </c>
      <c r="H162" s="41" t="str">
        <f t="shared" si="20"/>
        <v>Isle of Wight Rivers|Horticulture|TRUE|900to1200|FreeDrain</v>
      </c>
      <c r="I162" s="174">
        <v>0.22541051763707209</v>
      </c>
      <c r="J162" s="174">
        <v>22.769895863022395</v>
      </c>
      <c r="K162" s="33" t="str">
        <f t="shared" si="21"/>
        <v>Horticulture|900to1200</v>
      </c>
      <c r="L162" s="175">
        <f>AVERAGE(I162)</f>
        <v>0.22541051763707209</v>
      </c>
      <c r="M162" s="176">
        <f>AVERAGE(J162)</f>
        <v>22.769895863022395</v>
      </c>
      <c r="N162" s="174"/>
      <c r="O162" s="177"/>
      <c r="P162" s="124"/>
    </row>
    <row r="163" spans="2:16" x14ac:dyDescent="0.2">
      <c r="B163" s="123"/>
      <c r="C163" s="173" t="s">
        <v>107</v>
      </c>
      <c r="D163" s="173" t="s">
        <v>239</v>
      </c>
      <c r="E163" s="173" t="b">
        <v>1</v>
      </c>
      <c r="F163" s="173" t="s">
        <v>232</v>
      </c>
      <c r="G163" s="173" t="s">
        <v>233</v>
      </c>
      <c r="H163" s="41" t="str">
        <f t="shared" si="20"/>
        <v>Isle of Wight Rivers|Pig|TRUE|700to900|FreeDrain</v>
      </c>
      <c r="I163" s="174">
        <v>0.15401717832919234</v>
      </c>
      <c r="J163" s="174">
        <v>63.822079068535942</v>
      </c>
      <c r="K163" s="33" t="str">
        <f t="shared" si="21"/>
        <v>Pig|700to900</v>
      </c>
      <c r="L163" s="175">
        <f>AVERAGE(I163:I164)</f>
        <v>0.5441640829621085</v>
      </c>
      <c r="M163" s="176">
        <f>AVERAGE(J163:J164)</f>
        <v>49.77880643922461</v>
      </c>
      <c r="N163" s="174">
        <f>AVERAGE(I163:I164)</f>
        <v>0.5441640829621085</v>
      </c>
      <c r="O163" s="177">
        <f>AVERAGE(J163:J164)</f>
        <v>49.77880643922461</v>
      </c>
      <c r="P163" s="124"/>
    </row>
    <row r="164" spans="2:16" x14ac:dyDescent="0.2">
      <c r="B164" s="123"/>
      <c r="C164" s="173" t="s">
        <v>107</v>
      </c>
      <c r="D164" s="173" t="s">
        <v>239</v>
      </c>
      <c r="E164" s="173" t="b">
        <v>1</v>
      </c>
      <c r="F164" s="173" t="s">
        <v>232</v>
      </c>
      <c r="G164" s="173" t="s">
        <v>235</v>
      </c>
      <c r="H164" s="41" t="str">
        <f t="shared" si="20"/>
        <v>Isle of Wight Rivers|Pig|TRUE|700to900|DrainedArGr</v>
      </c>
      <c r="I164" s="174">
        <v>0.93431098759502462</v>
      </c>
      <c r="J164" s="174">
        <v>35.735533809913285</v>
      </c>
      <c r="K164" s="33" t="str">
        <f t="shared" si="21"/>
        <v>Pig|700to900</v>
      </c>
      <c r="L164" s="175"/>
      <c r="M164" s="176"/>
      <c r="N164" s="174"/>
      <c r="O164" s="177"/>
      <c r="P164" s="124"/>
    </row>
    <row r="165" spans="2:16" x14ac:dyDescent="0.2">
      <c r="B165" s="123"/>
      <c r="C165" s="173" t="s">
        <v>107</v>
      </c>
      <c r="D165" s="173" t="s">
        <v>240</v>
      </c>
      <c r="E165" s="173" t="b">
        <v>0</v>
      </c>
      <c r="F165" s="173" t="s">
        <v>232</v>
      </c>
      <c r="G165" s="173" t="s">
        <v>233</v>
      </c>
      <c r="H165" s="41" t="str">
        <f t="shared" si="20"/>
        <v>Isle of Wight Rivers|Poultry|FALSE|700to900|FreeDrain</v>
      </c>
      <c r="I165" s="174">
        <v>0.1427614898999314</v>
      </c>
      <c r="J165" s="174">
        <v>56.496269202068575</v>
      </c>
      <c r="K165" s="33" t="str">
        <f t="shared" si="21"/>
        <v>Poultry|700to900</v>
      </c>
      <c r="L165" s="175">
        <f>AVERAGE(I166,I168,I167)</f>
        <v>0.46964829973208494</v>
      </c>
      <c r="M165" s="176">
        <f>AVERAGE(J166,J168,J167)</f>
        <v>42.409989313930161</v>
      </c>
      <c r="N165" s="174">
        <f>AVERAGE(I165:I169)</f>
        <v>0.466585938104218</v>
      </c>
      <c r="O165" s="177">
        <f>AVERAGE(J165:J169)</f>
        <v>42.904914516234932</v>
      </c>
      <c r="P165" s="124"/>
    </row>
    <row r="166" spans="2:16" x14ac:dyDescent="0.2">
      <c r="B166" s="123"/>
      <c r="C166" s="173" t="s">
        <v>107</v>
      </c>
      <c r="D166" s="173" t="s">
        <v>240</v>
      </c>
      <c r="E166" s="173" t="b">
        <v>1</v>
      </c>
      <c r="F166" s="173" t="s">
        <v>232</v>
      </c>
      <c r="G166" s="173" t="s">
        <v>233</v>
      </c>
      <c r="H166" s="41" t="str">
        <f t="shared" si="20"/>
        <v>Isle of Wight Rivers|Poultry|TRUE|700to900|FreeDrain</v>
      </c>
      <c r="I166" s="174">
        <v>0.14094861782839527</v>
      </c>
      <c r="J166" s="174">
        <v>56.568269490381759</v>
      </c>
      <c r="K166" s="33" t="str">
        <f t="shared" si="21"/>
        <v>Poultry|700to900</v>
      </c>
      <c r="L166" s="175"/>
      <c r="M166" s="176"/>
      <c r="N166" s="174"/>
      <c r="O166" s="177"/>
      <c r="P166" s="124"/>
    </row>
    <row r="167" spans="2:16" x14ac:dyDescent="0.2">
      <c r="B167" s="123"/>
      <c r="C167" s="173" t="s">
        <v>107</v>
      </c>
      <c r="D167" s="173" t="s">
        <v>240</v>
      </c>
      <c r="E167" s="173" t="b">
        <v>1</v>
      </c>
      <c r="F167" s="173" t="s">
        <v>232</v>
      </c>
      <c r="G167" s="173" t="s">
        <v>234</v>
      </c>
      <c r="H167" s="41" t="str">
        <f t="shared" si="20"/>
        <v>Isle of Wight Rivers|Poultry|TRUE|700to900|DrainedAr</v>
      </c>
      <c r="I167" s="174">
        <v>0.47126452302245103</v>
      </c>
      <c r="J167" s="174">
        <v>38.254022340955572</v>
      </c>
      <c r="K167" s="33" t="str">
        <f t="shared" si="21"/>
        <v>Poultry|700to900</v>
      </c>
      <c r="L167" s="175"/>
      <c r="M167" s="176"/>
      <c r="N167" s="174"/>
      <c r="O167" s="177"/>
      <c r="P167" s="124"/>
    </row>
    <row r="168" spans="2:16" x14ac:dyDescent="0.2">
      <c r="B168" s="123"/>
      <c r="C168" s="173" t="s">
        <v>107</v>
      </c>
      <c r="D168" s="173" t="s">
        <v>240</v>
      </c>
      <c r="E168" s="173" t="b">
        <v>0</v>
      </c>
      <c r="F168" s="173" t="s">
        <v>232</v>
      </c>
      <c r="G168" s="173" t="s">
        <v>235</v>
      </c>
      <c r="H168" s="41" t="str">
        <f t="shared" si="20"/>
        <v>Isle of Wight Rivers|Poultry|FALSE|700to900|DrainedArGr</v>
      </c>
      <c r="I168" s="174">
        <v>0.79673175834540833</v>
      </c>
      <c r="J168" s="174">
        <v>32.407676110453146</v>
      </c>
      <c r="K168" s="33" t="str">
        <f t="shared" si="21"/>
        <v>Poultry|700to900</v>
      </c>
      <c r="L168" s="175"/>
      <c r="M168" s="176"/>
      <c r="N168" s="174"/>
      <c r="O168" s="177"/>
      <c r="P168" s="124"/>
    </row>
    <row r="169" spans="2:16" x14ac:dyDescent="0.2">
      <c r="B169" s="123"/>
      <c r="C169" s="173" t="s">
        <v>107</v>
      </c>
      <c r="D169" s="173" t="s">
        <v>240</v>
      </c>
      <c r="E169" s="173" t="b">
        <v>1</v>
      </c>
      <c r="F169" s="173" t="s">
        <v>232</v>
      </c>
      <c r="G169" s="173" t="s">
        <v>235</v>
      </c>
      <c r="H169" s="41" t="str">
        <f t="shared" si="20"/>
        <v>Isle of Wight Rivers|Poultry|TRUE|700to900|DrainedArGr</v>
      </c>
      <c r="I169" s="174">
        <v>0.78122330142490393</v>
      </c>
      <c r="J169" s="174">
        <v>30.798335437315625</v>
      </c>
      <c r="K169" s="33" t="str">
        <f t="shared" si="21"/>
        <v>Poultry|700to900</v>
      </c>
      <c r="L169" s="175"/>
      <c r="M169" s="176"/>
      <c r="N169" s="174"/>
      <c r="O169" s="177"/>
      <c r="P169" s="124"/>
    </row>
    <row r="170" spans="2:16" x14ac:dyDescent="0.2">
      <c r="B170" s="123"/>
      <c r="C170" s="173" t="s">
        <v>107</v>
      </c>
      <c r="D170" s="173" t="s">
        <v>241</v>
      </c>
      <c r="E170" s="173" t="b">
        <v>0</v>
      </c>
      <c r="F170" s="173" t="s">
        <v>232</v>
      </c>
      <c r="G170" s="173" t="s">
        <v>233</v>
      </c>
      <c r="H170" s="41" t="str">
        <f t="shared" si="20"/>
        <v>Isle of Wight Rivers|Dairy|FALSE|700to900|FreeDrain</v>
      </c>
      <c r="I170" s="174">
        <v>0.14404652026279696</v>
      </c>
      <c r="J170" s="174">
        <v>29.893278460712942</v>
      </c>
      <c r="K170" s="33" t="str">
        <f t="shared" si="21"/>
        <v>Dairy|700to900</v>
      </c>
      <c r="L170" s="175">
        <f>AVERAGE(I170,I172,I173)</f>
        <v>0.49128783501052647</v>
      </c>
      <c r="M170" s="176">
        <f>AVERAGE(J170,J172,J173)</f>
        <v>22.661710714619801</v>
      </c>
      <c r="N170" s="174">
        <f>AVERAGE(I170:I175)</f>
        <v>1.0157180800294718</v>
      </c>
      <c r="O170" s="177">
        <f>AVERAGE(J170:J175)</f>
        <v>23.769904608175874</v>
      </c>
      <c r="P170" s="124"/>
    </row>
    <row r="171" spans="2:16" x14ac:dyDescent="0.2">
      <c r="B171" s="123"/>
      <c r="C171" s="173" t="s">
        <v>107</v>
      </c>
      <c r="D171" s="173" t="s">
        <v>241</v>
      </c>
      <c r="E171" s="173" t="b">
        <v>1</v>
      </c>
      <c r="F171" s="173" t="s">
        <v>232</v>
      </c>
      <c r="G171" s="173" t="s">
        <v>233</v>
      </c>
      <c r="H171" s="41" t="str">
        <f t="shared" si="20"/>
        <v>Isle of Wight Rivers|Dairy|TRUE|700to900|FreeDrain</v>
      </c>
      <c r="I171" s="174">
        <v>0.14311488829201904</v>
      </c>
      <c r="J171" s="174">
        <v>29.653500513139992</v>
      </c>
      <c r="K171" s="33" t="str">
        <f t="shared" si="21"/>
        <v>Dairy|700to900</v>
      </c>
      <c r="L171" s="175"/>
      <c r="M171" s="176"/>
      <c r="N171" s="174"/>
      <c r="O171" s="177"/>
      <c r="P171" s="124"/>
    </row>
    <row r="172" spans="2:16" x14ac:dyDescent="0.2">
      <c r="B172" s="123"/>
      <c r="C172" s="173" t="s">
        <v>107</v>
      </c>
      <c r="D172" s="173" t="s">
        <v>241</v>
      </c>
      <c r="E172" s="173" t="b">
        <v>0</v>
      </c>
      <c r="F172" s="173" t="s">
        <v>232</v>
      </c>
      <c r="G172" s="173" t="s">
        <v>234</v>
      </c>
      <c r="H172" s="41" t="str">
        <f t="shared" si="20"/>
        <v>Isle of Wight Rivers|Dairy|FALSE|700to900|DrainedAr</v>
      </c>
      <c r="I172" s="174">
        <v>0.3805662210141858</v>
      </c>
      <c r="J172" s="174">
        <v>22.763845799426168</v>
      </c>
      <c r="K172" s="33" t="str">
        <f t="shared" si="21"/>
        <v>Dairy|700to900</v>
      </c>
      <c r="L172" s="175"/>
      <c r="M172" s="176"/>
      <c r="N172" s="174"/>
      <c r="O172" s="177"/>
      <c r="P172" s="124"/>
    </row>
    <row r="173" spans="2:16" x14ac:dyDescent="0.2">
      <c r="B173" s="123"/>
      <c r="C173" s="173" t="s">
        <v>107</v>
      </c>
      <c r="D173" s="173" t="s">
        <v>241</v>
      </c>
      <c r="E173" s="173" t="b">
        <v>0</v>
      </c>
      <c r="F173" s="173" t="s">
        <v>232</v>
      </c>
      <c r="G173" s="173" t="s">
        <v>235</v>
      </c>
      <c r="H173" s="41" t="str">
        <f t="shared" si="20"/>
        <v>Isle of Wight Rivers|Dairy|FALSE|700to900|DrainedArGr</v>
      </c>
      <c r="I173" s="174">
        <v>0.94925076375459672</v>
      </c>
      <c r="J173" s="174">
        <v>15.328007883720296</v>
      </c>
      <c r="K173" s="33" t="str">
        <f t="shared" si="21"/>
        <v>Dairy|700to900</v>
      </c>
      <c r="L173" s="175"/>
      <c r="M173" s="176"/>
      <c r="N173" s="174"/>
      <c r="O173" s="177"/>
      <c r="P173" s="124"/>
    </row>
    <row r="174" spans="2:16" x14ac:dyDescent="0.2">
      <c r="B174" s="123"/>
      <c r="C174" s="173" t="s">
        <v>107</v>
      </c>
      <c r="D174" s="173" t="s">
        <v>241</v>
      </c>
      <c r="E174" s="173" t="b">
        <v>1</v>
      </c>
      <c r="F174" s="173" t="s">
        <v>232</v>
      </c>
      <c r="G174" s="173" t="s">
        <v>235</v>
      </c>
      <c r="H174" s="41" t="str">
        <f t="shared" si="20"/>
        <v>Isle of Wight Rivers|Dairy|TRUE|700to900|DrainedArGr</v>
      </c>
      <c r="I174" s="174">
        <v>0.93301882869261132</v>
      </c>
      <c r="J174" s="174">
        <v>15.105423715393894</v>
      </c>
      <c r="K174" s="33" t="str">
        <f t="shared" si="21"/>
        <v>Dairy|700to900</v>
      </c>
      <c r="L174" s="175"/>
      <c r="M174" s="176"/>
      <c r="N174" s="174"/>
      <c r="O174" s="177"/>
      <c r="P174" s="124"/>
    </row>
    <row r="175" spans="2:16" x14ac:dyDescent="0.2">
      <c r="B175" s="123"/>
      <c r="C175" s="173" t="s">
        <v>107</v>
      </c>
      <c r="D175" s="173" t="s">
        <v>241</v>
      </c>
      <c r="E175" s="173" t="b">
        <v>1</v>
      </c>
      <c r="F175" s="173" t="s">
        <v>244</v>
      </c>
      <c r="G175" s="173" t="s">
        <v>235</v>
      </c>
      <c r="H175" s="41" t="str">
        <f t="shared" si="20"/>
        <v>Isle of Wight Rivers|Dairy|TRUE|Over1500|DrainedArGr</v>
      </c>
      <c r="I175" s="174">
        <v>3.5443112581606213</v>
      </c>
      <c r="J175" s="174">
        <v>29.875371276661951</v>
      </c>
      <c r="K175" s="33" t="str">
        <f t="shared" si="21"/>
        <v>Dairy|Over1500</v>
      </c>
      <c r="L175" s="175">
        <f>AVERAGE(I175)</f>
        <v>3.5443112581606213</v>
      </c>
      <c r="M175" s="176">
        <f>AVERAGE(J175)</f>
        <v>29.875371276661951</v>
      </c>
      <c r="N175" s="174"/>
      <c r="O175" s="177"/>
      <c r="P175" s="124"/>
    </row>
    <row r="176" spans="2:16" x14ac:dyDescent="0.2">
      <c r="B176" s="123"/>
      <c r="C176" s="173" t="s">
        <v>107</v>
      </c>
      <c r="D176" s="173" t="s">
        <v>242</v>
      </c>
      <c r="E176" s="173" t="b">
        <v>0</v>
      </c>
      <c r="F176" s="173" t="s">
        <v>232</v>
      </c>
      <c r="G176" s="173" t="s">
        <v>233</v>
      </c>
      <c r="H176" s="41" t="str">
        <f t="shared" si="20"/>
        <v>Isle of Wight Rivers|Lowland|FALSE|700to900|FreeDrain</v>
      </c>
      <c r="I176" s="174">
        <v>0.10368697634666933</v>
      </c>
      <c r="J176" s="174">
        <v>14.494022995307061</v>
      </c>
      <c r="K176" s="33" t="str">
        <f t="shared" si="21"/>
        <v>Lowland|700to900</v>
      </c>
      <c r="L176" s="175">
        <f>AVERAGE(I176,I178,I180)</f>
        <v>0.3096258775523546</v>
      </c>
      <c r="M176" s="176">
        <f>AVERAGE(J176,J178,J180)</f>
        <v>11.288279003137054</v>
      </c>
      <c r="N176" s="174">
        <f>AVERAGE(I176:I185)</f>
        <v>0.38451194279595419</v>
      </c>
      <c r="O176" s="177">
        <f>AVERAGE(J176:J185)</f>
        <v>12.151148658660203</v>
      </c>
      <c r="P176" s="124"/>
    </row>
    <row r="177" spans="2:16" x14ac:dyDescent="0.2">
      <c r="B177" s="123"/>
      <c r="C177" s="173" t="s">
        <v>107</v>
      </c>
      <c r="D177" s="173" t="s">
        <v>242</v>
      </c>
      <c r="E177" s="173" t="b">
        <v>1</v>
      </c>
      <c r="F177" s="173" t="s">
        <v>232</v>
      </c>
      <c r="G177" s="173" t="s">
        <v>233</v>
      </c>
      <c r="H177" s="41" t="str">
        <f t="shared" si="20"/>
        <v>Isle of Wight Rivers|Lowland|TRUE|700to900|FreeDrain</v>
      </c>
      <c r="I177" s="174">
        <v>0.10368670080340417</v>
      </c>
      <c r="J177" s="174">
        <v>14.398778486889316</v>
      </c>
      <c r="K177" s="33" t="str">
        <f t="shared" si="21"/>
        <v>Lowland|700to900</v>
      </c>
      <c r="L177" s="175"/>
      <c r="M177" s="176"/>
      <c r="N177" s="174"/>
      <c r="O177" s="177"/>
      <c r="P177" s="124"/>
    </row>
    <row r="178" spans="2:16" x14ac:dyDescent="0.2">
      <c r="B178" s="123"/>
      <c r="C178" s="173" t="s">
        <v>107</v>
      </c>
      <c r="D178" s="173" t="s">
        <v>242</v>
      </c>
      <c r="E178" s="173" t="b">
        <v>0</v>
      </c>
      <c r="F178" s="173" t="s">
        <v>232</v>
      </c>
      <c r="G178" s="173" t="s">
        <v>234</v>
      </c>
      <c r="H178" s="41" t="str">
        <f t="shared" si="20"/>
        <v>Isle of Wight Rivers|Lowland|FALSE|700to900|DrainedAr</v>
      </c>
      <c r="I178" s="174">
        <v>0.19466953056958258</v>
      </c>
      <c r="J178" s="174">
        <v>11.266843724950832</v>
      </c>
      <c r="K178" s="33" t="str">
        <f t="shared" si="21"/>
        <v>Lowland|700to900</v>
      </c>
      <c r="L178" s="175"/>
      <c r="M178" s="176"/>
      <c r="N178" s="174"/>
      <c r="O178" s="177"/>
      <c r="P178" s="124"/>
    </row>
    <row r="179" spans="2:16" x14ac:dyDescent="0.2">
      <c r="B179" s="123"/>
      <c r="C179" s="173" t="s">
        <v>107</v>
      </c>
      <c r="D179" s="173" t="s">
        <v>242</v>
      </c>
      <c r="E179" s="173" t="b">
        <v>1</v>
      </c>
      <c r="F179" s="173" t="s">
        <v>232</v>
      </c>
      <c r="G179" s="173" t="s">
        <v>234</v>
      </c>
      <c r="H179" s="41" t="str">
        <f t="shared" si="20"/>
        <v>Isle of Wight Rivers|Lowland|TRUE|700to900|DrainedAr</v>
      </c>
      <c r="I179" s="174">
        <v>0.19466918871051067</v>
      </c>
      <c r="J179" s="174">
        <v>11.194192075878057</v>
      </c>
      <c r="K179" s="33" t="str">
        <f t="shared" si="21"/>
        <v>Lowland|700to900</v>
      </c>
      <c r="L179" s="175"/>
      <c r="M179" s="176"/>
      <c r="N179" s="174"/>
      <c r="O179" s="177"/>
      <c r="P179" s="124"/>
    </row>
    <row r="180" spans="2:16" x14ac:dyDescent="0.2">
      <c r="B180" s="123"/>
      <c r="C180" s="173" t="s">
        <v>107</v>
      </c>
      <c r="D180" s="173" t="s">
        <v>242</v>
      </c>
      <c r="E180" s="173" t="b">
        <v>0</v>
      </c>
      <c r="F180" s="173" t="s">
        <v>232</v>
      </c>
      <c r="G180" s="173" t="s">
        <v>235</v>
      </c>
      <c r="H180" s="41" t="str">
        <f t="shared" si="20"/>
        <v>Isle of Wight Rivers|Lowland|FALSE|700to900|DrainedArGr</v>
      </c>
      <c r="I180" s="174">
        <v>0.63052112574081187</v>
      </c>
      <c r="J180" s="174">
        <v>8.1039702891532706</v>
      </c>
      <c r="K180" s="33" t="str">
        <f t="shared" si="21"/>
        <v>Lowland|700to900</v>
      </c>
      <c r="L180" s="175"/>
      <c r="M180" s="176"/>
      <c r="N180" s="174"/>
      <c r="O180" s="177"/>
      <c r="P180" s="124"/>
    </row>
    <row r="181" spans="2:16" x14ac:dyDescent="0.2">
      <c r="B181" s="123"/>
      <c r="C181" s="173" t="s">
        <v>107</v>
      </c>
      <c r="D181" s="173" t="s">
        <v>242</v>
      </c>
      <c r="E181" s="173" t="b">
        <v>1</v>
      </c>
      <c r="F181" s="173" t="s">
        <v>232</v>
      </c>
      <c r="G181" s="173" t="s">
        <v>235</v>
      </c>
      <c r="H181" s="41" t="str">
        <f t="shared" si="20"/>
        <v>Isle of Wight Rivers|Lowland|TRUE|700to900|DrainedArGr</v>
      </c>
      <c r="I181" s="174">
        <v>0.63048575273501128</v>
      </c>
      <c r="J181" s="174">
        <v>8.0823761398971428</v>
      </c>
      <c r="K181" s="33" t="str">
        <f t="shared" si="21"/>
        <v>Lowland|700to900</v>
      </c>
      <c r="L181" s="175"/>
      <c r="M181" s="176"/>
      <c r="N181" s="174"/>
      <c r="O181" s="177"/>
      <c r="P181" s="124"/>
    </row>
    <row r="182" spans="2:16" x14ac:dyDescent="0.2">
      <c r="B182" s="123"/>
      <c r="C182" s="173" t="s">
        <v>107</v>
      </c>
      <c r="D182" s="173" t="s">
        <v>242</v>
      </c>
      <c r="E182" s="173" t="b">
        <v>1</v>
      </c>
      <c r="F182" s="173" t="s">
        <v>236</v>
      </c>
      <c r="G182" s="173" t="s">
        <v>233</v>
      </c>
      <c r="H182" s="41" t="str">
        <f t="shared" si="20"/>
        <v>Isle of Wight Rivers|Lowland|TRUE|900to1200|FreeDrain</v>
      </c>
      <c r="I182" s="174">
        <v>0.16572044289623966</v>
      </c>
      <c r="J182" s="174">
        <v>15.31010436034145</v>
      </c>
      <c r="K182" s="33" t="str">
        <f t="shared" si="21"/>
        <v>Lowland|900to1200</v>
      </c>
      <c r="L182" s="175">
        <f>AVERAGE(I182:I183)</f>
        <v>0.61364926864474412</v>
      </c>
      <c r="M182" s="176">
        <f>AVERAGE(J182:J183)</f>
        <v>12.904931671290184</v>
      </c>
      <c r="N182" s="174"/>
      <c r="O182" s="177"/>
      <c r="P182" s="124"/>
    </row>
    <row r="183" spans="2:16" x14ac:dyDescent="0.2">
      <c r="B183" s="123"/>
      <c r="C183" s="173" t="s">
        <v>107</v>
      </c>
      <c r="D183" s="173" t="s">
        <v>242</v>
      </c>
      <c r="E183" s="173" t="b">
        <v>1</v>
      </c>
      <c r="F183" s="173" t="s">
        <v>236</v>
      </c>
      <c r="G183" s="173" t="s">
        <v>235</v>
      </c>
      <c r="H183" s="41" t="str">
        <f t="shared" si="20"/>
        <v>Isle of Wight Rivers|Lowland|TRUE|900to1200|DrainedArGr</v>
      </c>
      <c r="I183" s="174">
        <v>1.0615780943932487</v>
      </c>
      <c r="J183" s="174">
        <v>10.499758982238918</v>
      </c>
      <c r="K183" s="33" t="str">
        <f t="shared" si="21"/>
        <v>Lowland|900to1200</v>
      </c>
      <c r="L183" s="175"/>
      <c r="M183" s="176"/>
      <c r="N183" s="174"/>
      <c r="O183" s="177"/>
      <c r="P183" s="124"/>
    </row>
    <row r="184" spans="2:16" x14ac:dyDescent="0.2">
      <c r="B184" s="123"/>
      <c r="C184" s="173" t="s">
        <v>107</v>
      </c>
      <c r="D184" s="173" t="s">
        <v>242</v>
      </c>
      <c r="E184" s="173" t="b">
        <v>0</v>
      </c>
      <c r="F184" s="173" t="s">
        <v>244</v>
      </c>
      <c r="G184" s="173" t="s">
        <v>233</v>
      </c>
      <c r="H184" s="41" t="str">
        <f t="shared" si="20"/>
        <v>Isle of Wight Rivers|Lowland|FALSE|Over1500|FreeDrain</v>
      </c>
      <c r="I184" s="174">
        <v>0.38005108684770234</v>
      </c>
      <c r="J184" s="174">
        <v>14.121682574354095</v>
      </c>
      <c r="K184" s="33" t="str">
        <f t="shared" si="21"/>
        <v>Lowland|Over1500</v>
      </c>
      <c r="L184" s="175">
        <f>AVERAGE(I184)</f>
        <v>0.38005108684770234</v>
      </c>
      <c r="M184" s="176">
        <f>AVERAGE(J184)</f>
        <v>14.121682574354095</v>
      </c>
      <c r="N184" s="174"/>
      <c r="O184" s="177"/>
      <c r="P184" s="124"/>
    </row>
    <row r="185" spans="2:16" x14ac:dyDescent="0.2">
      <c r="B185" s="123"/>
      <c r="C185" s="173" t="s">
        <v>107</v>
      </c>
      <c r="D185" s="173" t="s">
        <v>242</v>
      </c>
      <c r="E185" s="173" t="b">
        <v>1</v>
      </c>
      <c r="F185" s="173" t="s">
        <v>244</v>
      </c>
      <c r="G185" s="173" t="s">
        <v>233</v>
      </c>
      <c r="H185" s="41" t="str">
        <f t="shared" si="20"/>
        <v>Isle of Wight Rivers|Lowland|TRUE|Over1500|FreeDrain</v>
      </c>
      <c r="I185" s="174">
        <v>0.38005052891636176</v>
      </c>
      <c r="J185" s="174">
        <v>14.039756957591889</v>
      </c>
      <c r="K185" s="33" t="str">
        <f t="shared" si="21"/>
        <v>Lowland|Over1500</v>
      </c>
      <c r="L185" s="175"/>
      <c r="M185" s="176"/>
      <c r="N185" s="174"/>
      <c r="O185" s="177"/>
      <c r="P185" s="124"/>
    </row>
    <row r="186" spans="2:16" x14ac:dyDescent="0.2">
      <c r="B186" s="123"/>
      <c r="C186" s="173" t="s">
        <v>107</v>
      </c>
      <c r="D186" s="173" t="s">
        <v>243</v>
      </c>
      <c r="E186" s="173" t="b">
        <v>0</v>
      </c>
      <c r="F186" s="173" t="s">
        <v>232</v>
      </c>
      <c r="G186" s="173" t="s">
        <v>233</v>
      </c>
      <c r="H186" s="41" t="str">
        <f t="shared" si="20"/>
        <v>Isle of Wight Rivers|Mixed|FALSE|700to900|FreeDrain</v>
      </c>
      <c r="I186" s="174">
        <v>0.13364068898769776</v>
      </c>
      <c r="J186" s="174">
        <v>22.398145562119549</v>
      </c>
      <c r="K186" s="33" t="str">
        <f t="shared" si="21"/>
        <v>Mixed|700to900</v>
      </c>
      <c r="L186" s="175">
        <f>AVERAGE(I186,I188,I190)</f>
        <v>0.49211316965472407</v>
      </c>
      <c r="M186" s="176">
        <f>AVERAGE(J186,J188,J190)</f>
        <v>18.036599653341067</v>
      </c>
      <c r="N186" s="174">
        <f>AVERAGE(I186:I191)</f>
        <v>0.49160340114338208</v>
      </c>
      <c r="O186" s="177">
        <f>AVERAGE(J186:J191)</f>
        <v>17.97871681731111</v>
      </c>
      <c r="P186" s="124"/>
    </row>
    <row r="187" spans="2:16" x14ac:dyDescent="0.2">
      <c r="B187" s="123"/>
      <c r="C187" s="173" t="s">
        <v>107</v>
      </c>
      <c r="D187" s="173" t="s">
        <v>243</v>
      </c>
      <c r="E187" s="173" t="b">
        <v>1</v>
      </c>
      <c r="F187" s="173" t="s">
        <v>232</v>
      </c>
      <c r="G187" s="173" t="s">
        <v>233</v>
      </c>
      <c r="H187" s="41" t="str">
        <f t="shared" si="20"/>
        <v>Isle of Wight Rivers|Mixed|TRUE|700to900|FreeDrain</v>
      </c>
      <c r="I187" s="174">
        <v>0.13349222832784213</v>
      </c>
      <c r="J187" s="174">
        <v>22.265690646481751</v>
      </c>
      <c r="K187" s="33" t="str">
        <f t="shared" si="21"/>
        <v>Mixed|700to900</v>
      </c>
      <c r="L187" s="175"/>
      <c r="M187" s="176"/>
      <c r="N187" s="174"/>
      <c r="O187" s="177"/>
      <c r="P187" s="124"/>
    </row>
    <row r="188" spans="2:16" x14ac:dyDescent="0.2">
      <c r="B188" s="123"/>
      <c r="C188" s="173" t="s">
        <v>107</v>
      </c>
      <c r="D188" s="173" t="s">
        <v>243</v>
      </c>
      <c r="E188" s="173" t="b">
        <v>0</v>
      </c>
      <c r="F188" s="173" t="s">
        <v>232</v>
      </c>
      <c r="G188" s="173" t="s">
        <v>234</v>
      </c>
      <c r="H188" s="41" t="str">
        <f t="shared" si="20"/>
        <v>Isle of Wight Rivers|Mixed|FALSE|700to900|DrainedAr</v>
      </c>
      <c r="I188" s="174">
        <v>0.47974407683475323</v>
      </c>
      <c r="J188" s="174">
        <v>17.238594324945449</v>
      </c>
      <c r="K188" s="33" t="str">
        <f t="shared" si="21"/>
        <v>Mixed|700to900</v>
      </c>
      <c r="L188" s="175"/>
      <c r="M188" s="176"/>
      <c r="N188" s="174"/>
      <c r="O188" s="177"/>
      <c r="P188" s="124"/>
    </row>
    <row r="189" spans="2:16" x14ac:dyDescent="0.2">
      <c r="B189" s="123"/>
      <c r="C189" s="173" t="s">
        <v>107</v>
      </c>
      <c r="D189" s="173" t="s">
        <v>243</v>
      </c>
      <c r="E189" s="173" t="b">
        <v>1</v>
      </c>
      <c r="F189" s="173" t="s">
        <v>232</v>
      </c>
      <c r="G189" s="173" t="s">
        <v>234</v>
      </c>
      <c r="H189" s="41" t="str">
        <f t="shared" si="20"/>
        <v>Isle of Wight Rivers|Mixed|TRUE|700to900|DrainedAr</v>
      </c>
      <c r="I189" s="174">
        <v>0.47905764104159976</v>
      </c>
      <c r="J189" s="174">
        <v>17.121843723969569</v>
      </c>
      <c r="K189" s="33" t="str">
        <f t="shared" si="21"/>
        <v>Mixed|700to900</v>
      </c>
      <c r="L189" s="175"/>
      <c r="M189" s="176"/>
      <c r="N189" s="174"/>
      <c r="O189" s="177"/>
      <c r="P189" s="124"/>
    </row>
    <row r="190" spans="2:16" x14ac:dyDescent="0.2">
      <c r="B190" s="123"/>
      <c r="C190" s="173" t="s">
        <v>107</v>
      </c>
      <c r="D190" s="173" t="s">
        <v>243</v>
      </c>
      <c r="E190" s="173" t="b">
        <v>0</v>
      </c>
      <c r="F190" s="173" t="s">
        <v>232</v>
      </c>
      <c r="G190" s="173" t="s">
        <v>235</v>
      </c>
      <c r="H190" s="41" t="str">
        <f t="shared" si="20"/>
        <v>Isle of Wight Rivers|Mixed|FALSE|700to900|DrainedArGr</v>
      </c>
      <c r="I190" s="174">
        <v>0.86295474314172127</v>
      </c>
      <c r="J190" s="174">
        <v>14.473059072958204</v>
      </c>
      <c r="K190" s="33" t="str">
        <f t="shared" si="21"/>
        <v>Mixed|700to900</v>
      </c>
      <c r="L190" s="175"/>
      <c r="M190" s="176"/>
      <c r="N190" s="174"/>
      <c r="O190" s="177"/>
      <c r="P190" s="124"/>
    </row>
    <row r="191" spans="2:16" x14ac:dyDescent="0.2">
      <c r="B191" s="123"/>
      <c r="C191" s="173" t="s">
        <v>107</v>
      </c>
      <c r="D191" s="173" t="s">
        <v>243</v>
      </c>
      <c r="E191" s="173" t="b">
        <v>1</v>
      </c>
      <c r="F191" s="173" t="s">
        <v>232</v>
      </c>
      <c r="G191" s="173" t="s">
        <v>235</v>
      </c>
      <c r="H191" s="41" t="str">
        <f t="shared" si="20"/>
        <v>Isle of Wight Rivers|Mixed|TRUE|700to900|DrainedArGr</v>
      </c>
      <c r="I191" s="174">
        <v>0.86073102852667804</v>
      </c>
      <c r="J191" s="174">
        <v>14.374967573392144</v>
      </c>
      <c r="K191" s="33" t="str">
        <f t="shared" si="21"/>
        <v>Mixed|700to900</v>
      </c>
      <c r="L191" s="175"/>
      <c r="M191" s="176"/>
      <c r="N191" s="174"/>
      <c r="O191" s="177"/>
      <c r="P191" s="124"/>
    </row>
    <row r="192" spans="2:16" x14ac:dyDescent="0.2">
      <c r="B192" s="123"/>
      <c r="C192" s="173" t="s">
        <v>245</v>
      </c>
      <c r="D192" s="173" t="s">
        <v>117</v>
      </c>
      <c r="E192" s="173" t="b">
        <v>1</v>
      </c>
      <c r="F192" s="173" t="s">
        <v>232</v>
      </c>
      <c r="G192" s="173" t="s">
        <v>233</v>
      </c>
      <c r="H192" s="41" t="str">
        <f t="shared" si="20"/>
        <v>Lower Test and Southampton Streams|Cereals|TRUE|700to900|FreeDrain</v>
      </c>
      <c r="I192" s="174">
        <v>0.12886205362277714</v>
      </c>
      <c r="J192" s="174">
        <v>27.043116823578217</v>
      </c>
      <c r="K192" s="33" t="str">
        <f t="shared" si="21"/>
        <v>Cereals|700to900</v>
      </c>
      <c r="L192" s="175">
        <f>AVERAGE(I192:I194)</f>
        <v>0.54128839436054577</v>
      </c>
      <c r="M192" s="176">
        <f>AVERAGE(J192:J194)</f>
        <v>22.520220030663939</v>
      </c>
      <c r="N192" s="174">
        <f>AVERAGE(I192:I195)</f>
        <v>0.70066027265170949</v>
      </c>
      <c r="O192" s="177">
        <f>AVERAGE(J192:J195)</f>
        <v>23.591456506214463</v>
      </c>
      <c r="P192" s="124"/>
    </row>
    <row r="193" spans="2:16" x14ac:dyDescent="0.2">
      <c r="B193" s="123"/>
      <c r="C193" s="173" t="s">
        <v>245</v>
      </c>
      <c r="D193" s="173" t="s">
        <v>117</v>
      </c>
      <c r="E193" s="173" t="b">
        <v>1</v>
      </c>
      <c r="F193" s="173" t="s">
        <v>232</v>
      </c>
      <c r="G193" s="173" t="s">
        <v>234</v>
      </c>
      <c r="H193" s="41" t="str">
        <f t="shared" si="20"/>
        <v>Lower Test and Southampton Streams|Cereals|TRUE|700to900|DrainedAr</v>
      </c>
      <c r="I193" s="174">
        <v>0.62498115289921208</v>
      </c>
      <c r="J193" s="174">
        <v>20.926358465745814</v>
      </c>
      <c r="K193" s="33" t="str">
        <f t="shared" si="21"/>
        <v>Cereals|700to900</v>
      </c>
      <c r="L193" s="175"/>
      <c r="M193" s="176"/>
      <c r="N193" s="174"/>
      <c r="O193" s="177"/>
      <c r="P193" s="124"/>
    </row>
    <row r="194" spans="2:16" x14ac:dyDescent="0.2">
      <c r="B194" s="123"/>
      <c r="C194" s="173" t="s">
        <v>245</v>
      </c>
      <c r="D194" s="173" t="s">
        <v>117</v>
      </c>
      <c r="E194" s="173" t="b">
        <v>1</v>
      </c>
      <c r="F194" s="173" t="s">
        <v>232</v>
      </c>
      <c r="G194" s="173" t="s">
        <v>235</v>
      </c>
      <c r="H194" s="41" t="str">
        <f t="shared" si="20"/>
        <v>Lower Test and Southampton Streams|Cereals|TRUE|700to900|DrainedArGr</v>
      </c>
      <c r="I194" s="174">
        <v>0.87002197655964808</v>
      </c>
      <c r="J194" s="174">
        <v>19.591184802667797</v>
      </c>
      <c r="K194" s="33" t="str">
        <f t="shared" si="21"/>
        <v>Cereals|700to900</v>
      </c>
      <c r="L194" s="175"/>
      <c r="M194" s="176"/>
      <c r="N194" s="174"/>
      <c r="O194" s="177"/>
      <c r="P194" s="124"/>
    </row>
    <row r="195" spans="2:16" x14ac:dyDescent="0.2">
      <c r="B195" s="123"/>
      <c r="C195" s="173" t="s">
        <v>245</v>
      </c>
      <c r="D195" s="173" t="s">
        <v>117</v>
      </c>
      <c r="E195" s="173" t="b">
        <v>1</v>
      </c>
      <c r="F195" s="173" t="s">
        <v>236</v>
      </c>
      <c r="G195" s="173" t="s">
        <v>234</v>
      </c>
      <c r="H195" s="41" t="str">
        <f t="shared" si="20"/>
        <v>Lower Test and Southampton Streams|Cereals|TRUE|900to1200|DrainedAr</v>
      </c>
      <c r="I195" s="174">
        <v>1.1787759075252007</v>
      </c>
      <c r="J195" s="174">
        <v>26.805165932866036</v>
      </c>
      <c r="K195" s="33" t="str">
        <f t="shared" si="21"/>
        <v>Cereals|900to1200</v>
      </c>
      <c r="L195" s="175">
        <f>AVERAGE(I195)</f>
        <v>1.1787759075252007</v>
      </c>
      <c r="M195" s="176">
        <f>AVERAGE(J195)</f>
        <v>26.805165932866036</v>
      </c>
      <c r="N195" s="174"/>
      <c r="O195" s="177"/>
      <c r="P195" s="124"/>
    </row>
    <row r="196" spans="2:16" x14ac:dyDescent="0.2">
      <c r="B196" s="123"/>
      <c r="C196" s="173" t="s">
        <v>245</v>
      </c>
      <c r="D196" s="173" t="s">
        <v>237</v>
      </c>
      <c r="E196" s="173" t="b">
        <v>1</v>
      </c>
      <c r="F196" s="173" t="s">
        <v>232</v>
      </c>
      <c r="G196" s="173" t="s">
        <v>233</v>
      </c>
      <c r="H196" s="41" t="str">
        <f t="shared" si="20"/>
        <v>Lower Test and Southampton Streams|General|TRUE|700to900|FreeDrain</v>
      </c>
      <c r="I196" s="174">
        <v>9.7547641147719716E-2</v>
      </c>
      <c r="J196" s="174">
        <v>17.951528608411042</v>
      </c>
      <c r="K196" s="33" t="str">
        <f t="shared" si="21"/>
        <v>General|700to900</v>
      </c>
      <c r="L196" s="175">
        <f>AVERAGE(I196:I198)</f>
        <v>0.37910112908467913</v>
      </c>
      <c r="M196" s="176">
        <f>AVERAGE(J196:J198)</f>
        <v>14.479401858007252</v>
      </c>
      <c r="N196" s="174">
        <f>AVERAGE(I196:I200)</f>
        <v>0.59641918460869048</v>
      </c>
      <c r="O196" s="177">
        <f>AVERAGE(J196:J200)</f>
        <v>14.935619664730661</v>
      </c>
      <c r="P196" s="124"/>
    </row>
    <row r="197" spans="2:16" x14ac:dyDescent="0.2">
      <c r="B197" s="123"/>
      <c r="C197" s="173" t="s">
        <v>245</v>
      </c>
      <c r="D197" s="173" t="s">
        <v>237</v>
      </c>
      <c r="E197" s="173" t="b">
        <v>1</v>
      </c>
      <c r="F197" s="173" t="s">
        <v>232</v>
      </c>
      <c r="G197" s="173" t="s">
        <v>234</v>
      </c>
      <c r="H197" s="41" t="str">
        <f t="shared" si="20"/>
        <v>Lower Test and Southampton Streams|General|TRUE|700to900|DrainedAr</v>
      </c>
      <c r="I197" s="174">
        <v>0.39878415778943888</v>
      </c>
      <c r="J197" s="174">
        <v>13.432850274797062</v>
      </c>
      <c r="K197" s="33" t="str">
        <f t="shared" si="21"/>
        <v>General|700to900</v>
      </c>
      <c r="L197" s="175"/>
      <c r="M197" s="176"/>
      <c r="N197" s="174"/>
      <c r="O197" s="177"/>
      <c r="P197" s="124"/>
    </row>
    <row r="198" spans="2:16" x14ac:dyDescent="0.2">
      <c r="B198" s="123"/>
      <c r="C198" s="173" t="s">
        <v>245</v>
      </c>
      <c r="D198" s="173" t="s">
        <v>237</v>
      </c>
      <c r="E198" s="173" t="b">
        <v>1</v>
      </c>
      <c r="F198" s="173" t="s">
        <v>232</v>
      </c>
      <c r="G198" s="173" t="s">
        <v>235</v>
      </c>
      <c r="H198" s="41" t="str">
        <f t="shared" si="20"/>
        <v>Lower Test and Southampton Streams|General|TRUE|700to900|DrainedArGr</v>
      </c>
      <c r="I198" s="174">
        <v>0.64097158831687884</v>
      </c>
      <c r="J198" s="174">
        <v>12.053826690813654</v>
      </c>
      <c r="K198" s="33" t="str">
        <f t="shared" si="21"/>
        <v>General|700to900</v>
      </c>
      <c r="L198" s="175"/>
      <c r="M198" s="176"/>
      <c r="N198" s="174"/>
      <c r="O198" s="177"/>
      <c r="P198" s="124"/>
    </row>
    <row r="199" spans="2:16" x14ac:dyDescent="0.2">
      <c r="B199" s="123"/>
      <c r="C199" s="173" t="s">
        <v>245</v>
      </c>
      <c r="D199" s="173" t="s">
        <v>237</v>
      </c>
      <c r="E199" s="173" t="b">
        <v>1</v>
      </c>
      <c r="F199" s="173" t="s">
        <v>236</v>
      </c>
      <c r="G199" s="173" t="s">
        <v>234</v>
      </c>
      <c r="H199" s="41" t="str">
        <f t="shared" si="20"/>
        <v>Lower Test and Southampton Streams|General|TRUE|900to1200|DrainedAr</v>
      </c>
      <c r="I199" s="174">
        <v>0.76063748650554897</v>
      </c>
      <c r="J199" s="174">
        <v>17.148739959297831</v>
      </c>
      <c r="K199" s="33" t="str">
        <f t="shared" si="21"/>
        <v>General|900to1200</v>
      </c>
      <c r="L199" s="175">
        <f>AVERAGE(I199:I200)</f>
        <v>0.92239626789470763</v>
      </c>
      <c r="M199" s="176">
        <f>AVERAGE(J199:J200)</f>
        <v>15.619946374815767</v>
      </c>
      <c r="N199" s="174"/>
      <c r="O199" s="177"/>
      <c r="P199" s="124"/>
    </row>
    <row r="200" spans="2:16" x14ac:dyDescent="0.2">
      <c r="B200" s="123"/>
      <c r="C200" s="173" t="s">
        <v>245</v>
      </c>
      <c r="D200" s="173" t="s">
        <v>237</v>
      </c>
      <c r="E200" s="173" t="b">
        <v>1</v>
      </c>
      <c r="F200" s="173" t="s">
        <v>236</v>
      </c>
      <c r="G200" s="173" t="s">
        <v>235</v>
      </c>
      <c r="H200" s="41" t="str">
        <f t="shared" si="20"/>
        <v>Lower Test and Southampton Streams|General|TRUE|900to1200|DrainedArGr</v>
      </c>
      <c r="I200" s="174">
        <v>1.0841550492838663</v>
      </c>
      <c r="J200" s="174">
        <v>14.091152790333702</v>
      </c>
      <c r="K200" s="33" t="str">
        <f t="shared" si="21"/>
        <v>General|900to1200</v>
      </c>
      <c r="L200" s="175"/>
      <c r="M200" s="176"/>
      <c r="N200" s="174"/>
      <c r="O200" s="177"/>
      <c r="P200" s="124"/>
    </row>
    <row r="201" spans="2:16" x14ac:dyDescent="0.2">
      <c r="B201" s="123"/>
      <c r="C201" s="173" t="s">
        <v>245</v>
      </c>
      <c r="D201" s="173" t="s">
        <v>238</v>
      </c>
      <c r="E201" s="173" t="b">
        <v>1</v>
      </c>
      <c r="F201" s="173" t="s">
        <v>232</v>
      </c>
      <c r="G201" s="173" t="s">
        <v>233</v>
      </c>
      <c r="H201" s="41" t="str">
        <f t="shared" si="20"/>
        <v>Lower Test and Southampton Streams|Horticulture|TRUE|700to900|FreeDrain</v>
      </c>
      <c r="I201" s="174">
        <v>0.11074162086019319</v>
      </c>
      <c r="J201" s="174">
        <v>20.268616868438855</v>
      </c>
      <c r="K201" s="33" t="str">
        <f t="shared" si="21"/>
        <v>Horticulture|700to900</v>
      </c>
      <c r="L201" s="175">
        <f>AVERAGE(I201:I203)</f>
        <v>0.46605261683229066</v>
      </c>
      <c r="M201" s="176">
        <f>AVERAGE(J201:J203)</f>
        <v>16.089810584779062</v>
      </c>
      <c r="N201" s="174">
        <f>AVERAGE(I201:I205)</f>
        <v>0.72770858850368136</v>
      </c>
      <c r="O201" s="177">
        <f>AVERAGE(J201:J205)</f>
        <v>16.432449933468821</v>
      </c>
      <c r="P201" s="124"/>
    </row>
    <row r="202" spans="2:16" x14ac:dyDescent="0.2">
      <c r="B202" s="123"/>
      <c r="C202" s="173" t="s">
        <v>245</v>
      </c>
      <c r="D202" s="173" t="s">
        <v>238</v>
      </c>
      <c r="E202" s="173" t="b">
        <v>1</v>
      </c>
      <c r="F202" s="173" t="s">
        <v>232</v>
      </c>
      <c r="G202" s="173" t="s">
        <v>234</v>
      </c>
      <c r="H202" s="41" t="str">
        <f t="shared" si="20"/>
        <v>Lower Test and Southampton Streams|Horticulture|TRUE|700to900|DrainedAr</v>
      </c>
      <c r="I202" s="174">
        <v>0.51712858847039334</v>
      </c>
      <c r="J202" s="174">
        <v>14.821842216373526</v>
      </c>
      <c r="K202" s="33" t="str">
        <f t="shared" si="21"/>
        <v>Horticulture|700to900</v>
      </c>
      <c r="L202" s="175"/>
      <c r="M202" s="176"/>
      <c r="N202" s="174"/>
      <c r="O202" s="177"/>
      <c r="P202" s="124"/>
    </row>
    <row r="203" spans="2:16" x14ac:dyDescent="0.2">
      <c r="B203" s="123"/>
      <c r="C203" s="173" t="s">
        <v>245</v>
      </c>
      <c r="D203" s="173" t="s">
        <v>238</v>
      </c>
      <c r="E203" s="173" t="b">
        <v>1</v>
      </c>
      <c r="F203" s="173" t="s">
        <v>232</v>
      </c>
      <c r="G203" s="173" t="s">
        <v>235</v>
      </c>
      <c r="H203" s="41" t="str">
        <f t="shared" si="20"/>
        <v>Lower Test and Southampton Streams|Horticulture|TRUE|700to900|DrainedArGr</v>
      </c>
      <c r="I203" s="174">
        <v>0.77028764116628534</v>
      </c>
      <c r="J203" s="174">
        <v>13.178972669524814</v>
      </c>
      <c r="K203" s="33" t="str">
        <f t="shared" si="21"/>
        <v>Horticulture|700to900</v>
      </c>
      <c r="L203" s="175"/>
      <c r="M203" s="176"/>
      <c r="N203" s="174"/>
      <c r="O203" s="177"/>
      <c r="P203" s="124"/>
    </row>
    <row r="204" spans="2:16" x14ac:dyDescent="0.2">
      <c r="B204" s="123"/>
      <c r="C204" s="173" t="s">
        <v>245</v>
      </c>
      <c r="D204" s="173" t="s">
        <v>238</v>
      </c>
      <c r="E204" s="173" t="b">
        <v>1</v>
      </c>
      <c r="F204" s="173" t="s">
        <v>236</v>
      </c>
      <c r="G204" s="173" t="s">
        <v>234</v>
      </c>
      <c r="H204" s="41" t="str">
        <f t="shared" si="20"/>
        <v>Lower Test and Southampton Streams|Horticulture|TRUE|900to1200|DrainedAr</v>
      </c>
      <c r="I204" s="174">
        <v>0.97737260554238192</v>
      </c>
      <c r="J204" s="174">
        <v>18.78278854320363</v>
      </c>
      <c r="K204" s="33" t="str">
        <f t="shared" si="21"/>
        <v>Horticulture|900to1200</v>
      </c>
      <c r="L204" s="175">
        <f>AVERAGE(I204:I205)</f>
        <v>1.1201925460107671</v>
      </c>
      <c r="M204" s="176">
        <f>AVERAGE(J204:J205)</f>
        <v>16.946408956503447</v>
      </c>
      <c r="N204" s="174"/>
      <c r="O204" s="177"/>
      <c r="P204" s="124"/>
    </row>
    <row r="205" spans="2:16" x14ac:dyDescent="0.2">
      <c r="B205" s="123"/>
      <c r="C205" s="173" t="s">
        <v>245</v>
      </c>
      <c r="D205" s="173" t="s">
        <v>238</v>
      </c>
      <c r="E205" s="173" t="b">
        <v>1</v>
      </c>
      <c r="F205" s="173" t="s">
        <v>236</v>
      </c>
      <c r="G205" s="173" t="s">
        <v>235</v>
      </c>
      <c r="H205" s="41" t="str">
        <f t="shared" si="20"/>
        <v>Lower Test and Southampton Streams|Horticulture|TRUE|900to1200|DrainedArGr</v>
      </c>
      <c r="I205" s="174">
        <v>1.2630124864791525</v>
      </c>
      <c r="J205" s="174">
        <v>15.110029369803268</v>
      </c>
      <c r="K205" s="33" t="str">
        <f t="shared" si="21"/>
        <v>Horticulture|900to1200</v>
      </c>
      <c r="L205" s="175"/>
      <c r="M205" s="176"/>
      <c r="N205" s="174"/>
      <c r="O205" s="177"/>
      <c r="P205" s="124"/>
    </row>
    <row r="206" spans="2:16" x14ac:dyDescent="0.2">
      <c r="B206" s="123"/>
      <c r="C206" s="173" t="s">
        <v>245</v>
      </c>
      <c r="D206" s="173" t="s">
        <v>239</v>
      </c>
      <c r="E206" s="173" t="b">
        <v>1</v>
      </c>
      <c r="F206" s="173" t="s">
        <v>232</v>
      </c>
      <c r="G206" s="173" t="s">
        <v>233</v>
      </c>
      <c r="H206" s="41" t="str">
        <f t="shared" si="20"/>
        <v>Lower Test and Southampton Streams|Pig|TRUE|700to900|FreeDrain</v>
      </c>
      <c r="I206" s="174">
        <v>0.14315103329297718</v>
      </c>
      <c r="J206" s="174">
        <v>85.329994546892635</v>
      </c>
      <c r="K206" s="33" t="str">
        <f t="shared" si="21"/>
        <v>Pig|700to900</v>
      </c>
      <c r="L206" s="175">
        <f>AVERAGE(I206:I207)</f>
        <v>0.58074136945025301</v>
      </c>
      <c r="M206" s="176">
        <f>AVERAGE(J206:J207)</f>
        <v>65.982856176123676</v>
      </c>
      <c r="N206" s="174">
        <f>AVERAGE(I206:I208)</f>
        <v>0.91181463247251104</v>
      </c>
      <c r="O206" s="177">
        <f>AVERAGE(J206:J208)</f>
        <v>61.011988782315576</v>
      </c>
      <c r="P206" s="124"/>
    </row>
    <row r="207" spans="2:16" x14ac:dyDescent="0.2">
      <c r="B207" s="123"/>
      <c r="C207" s="173" t="s">
        <v>245</v>
      </c>
      <c r="D207" s="173" t="s">
        <v>239</v>
      </c>
      <c r="E207" s="173" t="b">
        <v>1</v>
      </c>
      <c r="F207" s="173" t="s">
        <v>232</v>
      </c>
      <c r="G207" s="173" t="s">
        <v>235</v>
      </c>
      <c r="H207" s="41" t="str">
        <f t="shared" si="20"/>
        <v>Lower Test and Southampton Streams|Pig|TRUE|700to900|DrainedArGr</v>
      </c>
      <c r="I207" s="174">
        <v>1.0183317056075287</v>
      </c>
      <c r="J207" s="174">
        <v>46.635717805354709</v>
      </c>
      <c r="K207" s="33" t="str">
        <f t="shared" si="21"/>
        <v>Pig|700to900</v>
      </c>
      <c r="L207" s="175"/>
      <c r="M207" s="176"/>
      <c r="N207" s="174"/>
      <c r="O207" s="177"/>
      <c r="P207" s="124"/>
    </row>
    <row r="208" spans="2:16" x14ac:dyDescent="0.2">
      <c r="B208" s="123"/>
      <c r="C208" s="173" t="s">
        <v>245</v>
      </c>
      <c r="D208" s="173" t="s">
        <v>239</v>
      </c>
      <c r="E208" s="173" t="b">
        <v>1</v>
      </c>
      <c r="F208" s="173" t="s">
        <v>236</v>
      </c>
      <c r="G208" s="173" t="s">
        <v>235</v>
      </c>
      <c r="H208" s="41" t="str">
        <f t="shared" si="20"/>
        <v>Lower Test and Southampton Streams|Pig|TRUE|900to1200|DrainedArGr</v>
      </c>
      <c r="I208" s="174">
        <v>1.573961158517027</v>
      </c>
      <c r="J208" s="174">
        <v>51.070253994699378</v>
      </c>
      <c r="K208" s="33" t="str">
        <f t="shared" si="21"/>
        <v>Pig|900to1200</v>
      </c>
      <c r="L208" s="175">
        <f>AVERAGE(I208)</f>
        <v>1.573961158517027</v>
      </c>
      <c r="M208" s="176">
        <f>AVERAGE(J208)</f>
        <v>51.070253994699378</v>
      </c>
      <c r="N208" s="174"/>
      <c r="O208" s="177"/>
      <c r="P208" s="124"/>
    </row>
    <row r="209" spans="2:16" x14ac:dyDescent="0.2">
      <c r="B209" s="123"/>
      <c r="C209" s="173" t="s">
        <v>245</v>
      </c>
      <c r="D209" s="173" t="s">
        <v>240</v>
      </c>
      <c r="E209" s="173" t="b">
        <v>1</v>
      </c>
      <c r="F209" s="173" t="s">
        <v>232</v>
      </c>
      <c r="G209" s="173" t="s">
        <v>233</v>
      </c>
      <c r="H209" s="41" t="str">
        <f t="shared" si="20"/>
        <v>Lower Test and Southampton Streams|Poultry|TRUE|700to900|FreeDrain</v>
      </c>
      <c r="I209" s="174">
        <v>0.18972561186060097</v>
      </c>
      <c r="J209" s="174">
        <v>181.04880172160316</v>
      </c>
      <c r="K209" s="33" t="str">
        <f t="shared" si="21"/>
        <v>Poultry|700to900</v>
      </c>
      <c r="L209" s="175">
        <f>AVERAGE(I209:I210)</f>
        <v>0.56604174709393151</v>
      </c>
      <c r="M209" s="176">
        <f>AVERAGE(J209:J210)</f>
        <v>136.67603300816251</v>
      </c>
      <c r="N209" s="174">
        <f>AVERAGE(I209:I212)</f>
        <v>0.86640821237064958</v>
      </c>
      <c r="O209" s="177">
        <f>AVERAGE(J209:J212)</f>
        <v>128.62542316129992</v>
      </c>
      <c r="P209" s="124"/>
    </row>
    <row r="210" spans="2:16" x14ac:dyDescent="0.2">
      <c r="B210" s="123"/>
      <c r="C210" s="173" t="s">
        <v>245</v>
      </c>
      <c r="D210" s="173" t="s">
        <v>240</v>
      </c>
      <c r="E210" s="173" t="b">
        <v>1</v>
      </c>
      <c r="F210" s="173" t="s">
        <v>232</v>
      </c>
      <c r="G210" s="173" t="s">
        <v>235</v>
      </c>
      <c r="H210" s="41" t="str">
        <f t="shared" si="20"/>
        <v>Lower Test and Southampton Streams|Poultry|TRUE|700to900|DrainedArGr</v>
      </c>
      <c r="I210" s="174">
        <v>0.94235788232726203</v>
      </c>
      <c r="J210" s="174">
        <v>92.303264294721885</v>
      </c>
      <c r="K210" s="33" t="str">
        <f t="shared" si="21"/>
        <v>Poultry|700to900</v>
      </c>
      <c r="L210" s="175"/>
      <c r="M210" s="176"/>
      <c r="N210" s="174"/>
      <c r="O210" s="177"/>
      <c r="P210" s="124"/>
    </row>
    <row r="211" spans="2:16" x14ac:dyDescent="0.2">
      <c r="B211" s="123"/>
      <c r="C211" s="173" t="s">
        <v>245</v>
      </c>
      <c r="D211" s="173" t="s">
        <v>240</v>
      </c>
      <c r="E211" s="173" t="b">
        <v>1</v>
      </c>
      <c r="F211" s="173" t="s">
        <v>236</v>
      </c>
      <c r="G211" s="173" t="s">
        <v>234</v>
      </c>
      <c r="H211" s="41" t="str">
        <f t="shared" si="20"/>
        <v>Lower Test and Southampton Streams|Poultry|TRUE|900to1200|DrainedAr</v>
      </c>
      <c r="I211" s="174">
        <v>0.83438328636897374</v>
      </c>
      <c r="J211" s="174">
        <v>141.51449325394358</v>
      </c>
      <c r="K211" s="33" t="str">
        <f t="shared" si="21"/>
        <v>Poultry|900to1200</v>
      </c>
      <c r="L211" s="175">
        <f>AVERAGE(I211:I212)</f>
        <v>1.1667746776473678</v>
      </c>
      <c r="M211" s="176">
        <f>AVERAGE(J211:J212)</f>
        <v>120.57481331443735</v>
      </c>
      <c r="N211" s="174"/>
      <c r="O211" s="177"/>
      <c r="P211" s="124"/>
    </row>
    <row r="212" spans="2:16" x14ac:dyDescent="0.2">
      <c r="B212" s="123"/>
      <c r="C212" s="173" t="s">
        <v>245</v>
      </c>
      <c r="D212" s="173" t="s">
        <v>240</v>
      </c>
      <c r="E212" s="173" t="b">
        <v>1</v>
      </c>
      <c r="F212" s="173" t="s">
        <v>236</v>
      </c>
      <c r="G212" s="173" t="s">
        <v>235</v>
      </c>
      <c r="H212" s="41" t="str">
        <f t="shared" si="20"/>
        <v>Lower Test and Southampton Streams|Poultry|TRUE|900to1200|DrainedArGr</v>
      </c>
      <c r="I212" s="174">
        <v>1.4991660689257615</v>
      </c>
      <c r="J212" s="174">
        <v>99.635133374931115</v>
      </c>
      <c r="K212" s="33" t="str">
        <f t="shared" si="21"/>
        <v>Poultry|900to1200</v>
      </c>
      <c r="L212" s="175"/>
      <c r="M212" s="176"/>
      <c r="N212" s="174"/>
      <c r="O212" s="177"/>
      <c r="P212" s="124"/>
    </row>
    <row r="213" spans="2:16" x14ac:dyDescent="0.2">
      <c r="B213" s="123"/>
      <c r="C213" s="173" t="s">
        <v>245</v>
      </c>
      <c r="D213" s="173" t="s">
        <v>241</v>
      </c>
      <c r="E213" s="173" t="b">
        <v>1</v>
      </c>
      <c r="F213" s="173" t="s">
        <v>232</v>
      </c>
      <c r="G213" s="173" t="s">
        <v>233</v>
      </c>
      <c r="H213" s="41" t="str">
        <f t="shared" si="20"/>
        <v>Lower Test and Southampton Streams|Dairy|TRUE|700to900|FreeDrain</v>
      </c>
      <c r="I213" s="174">
        <v>0.14519124012437759</v>
      </c>
      <c r="J213" s="174">
        <v>35.343924798892189</v>
      </c>
      <c r="K213" s="33" t="str">
        <f t="shared" si="21"/>
        <v>Dairy|700to900</v>
      </c>
      <c r="L213" s="175">
        <f>AVERAGE(I213:I214)</f>
        <v>0.57731794931700586</v>
      </c>
      <c r="M213" s="176">
        <f>AVERAGE(J213:J214)</f>
        <v>25.858638860458935</v>
      </c>
      <c r="N213" s="174">
        <f>AVERAGE(I213:I214)</f>
        <v>0.57731794931700586</v>
      </c>
      <c r="O213" s="177">
        <f>AVERAGE(J213:J214)</f>
        <v>25.858638860458935</v>
      </c>
      <c r="P213" s="124"/>
    </row>
    <row r="214" spans="2:16" x14ac:dyDescent="0.2">
      <c r="B214" s="123"/>
      <c r="C214" s="173" t="s">
        <v>245</v>
      </c>
      <c r="D214" s="173" t="s">
        <v>241</v>
      </c>
      <c r="E214" s="173" t="b">
        <v>1</v>
      </c>
      <c r="F214" s="173" t="s">
        <v>232</v>
      </c>
      <c r="G214" s="173" t="s">
        <v>235</v>
      </c>
      <c r="H214" s="41" t="str">
        <f t="shared" si="20"/>
        <v>Lower Test and Southampton Streams|Dairy|TRUE|700to900|DrainedArGr</v>
      </c>
      <c r="I214" s="174">
        <v>1.0094446585096342</v>
      </c>
      <c r="J214" s="174">
        <v>16.373352922025681</v>
      </c>
      <c r="K214" s="33" t="str">
        <f t="shared" si="21"/>
        <v>Dairy|700to900</v>
      </c>
      <c r="L214" s="175"/>
      <c r="M214" s="176"/>
      <c r="N214" s="174"/>
      <c r="O214" s="177"/>
      <c r="P214" s="124"/>
    </row>
    <row r="215" spans="2:16" x14ac:dyDescent="0.2">
      <c r="B215" s="123"/>
      <c r="C215" s="173" t="s">
        <v>245</v>
      </c>
      <c r="D215" s="173" t="s">
        <v>242</v>
      </c>
      <c r="E215" s="173" t="b">
        <v>1</v>
      </c>
      <c r="F215" s="173" t="s">
        <v>232</v>
      </c>
      <c r="G215" s="173" t="s">
        <v>233</v>
      </c>
      <c r="H215" s="41" t="str">
        <f t="shared" si="20"/>
        <v>Lower Test and Southampton Streams|Lowland|TRUE|700to900|FreeDrain</v>
      </c>
      <c r="I215" s="174">
        <v>9.4718115026017527E-2</v>
      </c>
      <c r="J215" s="174">
        <v>13.360320118547031</v>
      </c>
      <c r="K215" s="33" t="str">
        <f t="shared" si="21"/>
        <v>Lowland|700to900</v>
      </c>
      <c r="L215" s="175">
        <f>AVERAGE(I215:I216,I218)</f>
        <v>0.30040873540195706</v>
      </c>
      <c r="M215" s="176">
        <f>AVERAGE(J215:J216,J218)</f>
        <v>10.388382151908621</v>
      </c>
      <c r="N215" s="174">
        <f>AVERAGE(I215:I221)</f>
        <v>0.4398889373640395</v>
      </c>
      <c r="O215" s="177">
        <f>AVERAGE(J215:J221)</f>
        <v>10.237744729828389</v>
      </c>
      <c r="P215" s="124"/>
    </row>
    <row r="216" spans="2:16" x14ac:dyDescent="0.2">
      <c r="B216" s="123"/>
      <c r="C216" s="173" t="s">
        <v>245</v>
      </c>
      <c r="D216" s="173" t="s">
        <v>242</v>
      </c>
      <c r="E216" s="173" t="b">
        <v>0</v>
      </c>
      <c r="F216" s="173" t="s">
        <v>232</v>
      </c>
      <c r="G216" s="173" t="s">
        <v>234</v>
      </c>
      <c r="H216" s="41" t="str">
        <f t="shared" si="20"/>
        <v>Lower Test and Southampton Streams|Lowland|FALSE|700to900|DrainedAr</v>
      </c>
      <c r="I216" s="174">
        <v>0.19109415690347356</v>
      </c>
      <c r="J216" s="174">
        <v>10.508436176413737</v>
      </c>
      <c r="K216" s="33" t="str">
        <f t="shared" si="21"/>
        <v>Lowland|700to900</v>
      </c>
      <c r="L216" s="175"/>
      <c r="M216" s="176"/>
      <c r="N216" s="174"/>
      <c r="O216" s="177"/>
      <c r="P216" s="124"/>
    </row>
    <row r="217" spans="2:16" x14ac:dyDescent="0.2">
      <c r="B217" s="123"/>
      <c r="C217" s="173" t="s">
        <v>245</v>
      </c>
      <c r="D217" s="173" t="s">
        <v>242</v>
      </c>
      <c r="E217" s="173" t="b">
        <v>1</v>
      </c>
      <c r="F217" s="173" t="s">
        <v>232</v>
      </c>
      <c r="G217" s="173" t="s">
        <v>234</v>
      </c>
      <c r="H217" s="41" t="str">
        <f t="shared" si="20"/>
        <v>Lower Test and Southampton Streams|Lowland|TRUE|700to900|DrainedAr</v>
      </c>
      <c r="I217" s="174">
        <v>0.19109383609732083</v>
      </c>
      <c r="J217" s="174">
        <v>10.437829292338648</v>
      </c>
      <c r="K217" s="33" t="str">
        <f t="shared" si="21"/>
        <v>Lowland|700to900</v>
      </c>
      <c r="L217" s="175"/>
      <c r="M217" s="176"/>
      <c r="N217" s="174"/>
      <c r="O217" s="177"/>
      <c r="P217" s="124"/>
    </row>
    <row r="218" spans="2:16" x14ac:dyDescent="0.2">
      <c r="B218" s="123"/>
      <c r="C218" s="173" t="s">
        <v>245</v>
      </c>
      <c r="D218" s="173" t="s">
        <v>242</v>
      </c>
      <c r="E218" s="173" t="b">
        <v>0</v>
      </c>
      <c r="F218" s="173" t="s">
        <v>232</v>
      </c>
      <c r="G218" s="173" t="s">
        <v>235</v>
      </c>
      <c r="H218" s="41" t="str">
        <f t="shared" si="20"/>
        <v>Lower Test and Southampton Streams|Lowland|FALSE|700to900|DrainedArGr</v>
      </c>
      <c r="I218" s="174">
        <v>0.61541393427638014</v>
      </c>
      <c r="J218" s="174">
        <v>7.2963901607650961</v>
      </c>
      <c r="K218" s="33" t="str">
        <f t="shared" si="21"/>
        <v>Lowland|700to900</v>
      </c>
      <c r="L218" s="175"/>
      <c r="M218" s="176"/>
      <c r="N218" s="174"/>
      <c r="O218" s="177"/>
      <c r="P218" s="124"/>
    </row>
    <row r="219" spans="2:16" x14ac:dyDescent="0.2">
      <c r="B219" s="123"/>
      <c r="C219" s="173" t="s">
        <v>245</v>
      </c>
      <c r="D219" s="173" t="s">
        <v>242</v>
      </c>
      <c r="E219" s="173" t="b">
        <v>1</v>
      </c>
      <c r="F219" s="173" t="s">
        <v>232</v>
      </c>
      <c r="G219" s="173" t="s">
        <v>235</v>
      </c>
      <c r="H219" s="41" t="str">
        <f t="shared" si="20"/>
        <v>Lower Test and Southampton Streams|Lowland|TRUE|700to900|DrainedArGr</v>
      </c>
      <c r="I219" s="174">
        <v>0.61537769383432284</v>
      </c>
      <c r="J219" s="174">
        <v>7.2769719282466374</v>
      </c>
      <c r="K219" s="33" t="str">
        <f t="shared" si="21"/>
        <v>Lowland|700to900</v>
      </c>
      <c r="L219" s="175"/>
      <c r="M219" s="176"/>
      <c r="N219" s="174"/>
      <c r="O219" s="177"/>
      <c r="P219" s="124"/>
    </row>
    <row r="220" spans="2:16" x14ac:dyDescent="0.2">
      <c r="B220" s="123"/>
      <c r="C220" s="173" t="s">
        <v>245</v>
      </c>
      <c r="D220" s="173" t="s">
        <v>242</v>
      </c>
      <c r="E220" s="173" t="b">
        <v>1</v>
      </c>
      <c r="F220" s="173" t="s">
        <v>236</v>
      </c>
      <c r="G220" s="173" t="s">
        <v>234</v>
      </c>
      <c r="H220" s="41" t="str">
        <f t="shared" si="20"/>
        <v>Lower Test and Southampton Streams|Lowland|TRUE|900to1200|DrainedAr</v>
      </c>
      <c r="I220" s="174">
        <v>0.33597474957373985</v>
      </c>
      <c r="J220" s="174">
        <v>13.182290813508729</v>
      </c>
      <c r="K220" s="33" t="str">
        <f t="shared" si="21"/>
        <v>Lowland|900to1200</v>
      </c>
      <c r="L220" s="175">
        <f>AVERAGE(I220:I221)</f>
        <v>0.68576241270538074</v>
      </c>
      <c r="M220" s="176">
        <f>AVERAGE(J220:J221)</f>
        <v>11.392132716243786</v>
      </c>
      <c r="N220" s="174"/>
      <c r="O220" s="177"/>
      <c r="P220" s="124"/>
    </row>
    <row r="221" spans="2:16" x14ac:dyDescent="0.2">
      <c r="B221" s="123"/>
      <c r="C221" s="173" t="s">
        <v>245</v>
      </c>
      <c r="D221" s="173" t="s">
        <v>242</v>
      </c>
      <c r="E221" s="173" t="b">
        <v>1</v>
      </c>
      <c r="F221" s="173" t="s">
        <v>236</v>
      </c>
      <c r="G221" s="173" t="s">
        <v>235</v>
      </c>
      <c r="H221" s="41" t="str">
        <f t="shared" si="20"/>
        <v>Lower Test and Southampton Streams|Lowland|TRUE|900to1200|DrainedArGr</v>
      </c>
      <c r="I221" s="174">
        <v>1.0355500758370217</v>
      </c>
      <c r="J221" s="174">
        <v>9.6019746189788417</v>
      </c>
      <c r="K221" s="33" t="str">
        <f t="shared" si="21"/>
        <v>Lowland|900to1200</v>
      </c>
      <c r="L221" s="175"/>
      <c r="M221" s="176"/>
      <c r="N221" s="174"/>
      <c r="O221" s="177"/>
      <c r="P221" s="124"/>
    </row>
    <row r="222" spans="2:16" x14ac:dyDescent="0.2">
      <c r="B222" s="123"/>
      <c r="C222" s="173" t="s">
        <v>245</v>
      </c>
      <c r="D222" s="173" t="s">
        <v>243</v>
      </c>
      <c r="E222" s="173" t="b">
        <v>1</v>
      </c>
      <c r="F222" s="173" t="s">
        <v>232</v>
      </c>
      <c r="G222" s="173" t="s">
        <v>233</v>
      </c>
      <c r="H222" s="41" t="str">
        <f t="shared" ref="H222:H285" si="22">C222&amp;"|"&amp;D222&amp;"|"&amp;E222&amp;"|"&amp;F222&amp;"|"&amp;G222</f>
        <v>Lower Test and Southampton Streams|Mixed|TRUE|700to900|FreeDrain</v>
      </c>
      <c r="I222" s="174">
        <v>0.12359905227223703</v>
      </c>
      <c r="J222" s="174">
        <v>25.464421679664394</v>
      </c>
      <c r="K222" s="33" t="str">
        <f t="shared" ref="K222:K285" si="23">D222&amp;"|"&amp;F222&amp;""</f>
        <v>Mixed|700to900</v>
      </c>
      <c r="L222" s="175">
        <f>AVERAGE(I222:I223)</f>
        <v>0.4755884607348605</v>
      </c>
      <c r="M222" s="176">
        <f>AVERAGE(J222:J223)</f>
        <v>20.668650764123505</v>
      </c>
      <c r="N222" s="174">
        <f>AVERAGE(I222:I225)</f>
        <v>0.78826457250538051</v>
      </c>
      <c r="O222" s="177">
        <f>AVERAGE(J222:J225)</f>
        <v>21.087122997785841</v>
      </c>
      <c r="P222" s="124"/>
    </row>
    <row r="223" spans="2:16" x14ac:dyDescent="0.2">
      <c r="B223" s="123"/>
      <c r="C223" s="173" t="s">
        <v>245</v>
      </c>
      <c r="D223" s="173" t="s">
        <v>243</v>
      </c>
      <c r="E223" s="173" t="b">
        <v>1</v>
      </c>
      <c r="F223" s="173" t="s">
        <v>232</v>
      </c>
      <c r="G223" s="173" t="s">
        <v>235</v>
      </c>
      <c r="H223" s="41" t="str">
        <f t="shared" si="22"/>
        <v>Lower Test and Southampton Streams|Mixed|TRUE|700to900|DrainedArGr</v>
      </c>
      <c r="I223" s="174">
        <v>0.827577869197484</v>
      </c>
      <c r="J223" s="174">
        <v>15.872879848582613</v>
      </c>
      <c r="K223" s="33" t="str">
        <f t="shared" si="23"/>
        <v>Mixed|700to900</v>
      </c>
      <c r="L223" s="175"/>
      <c r="M223" s="176"/>
      <c r="N223" s="174"/>
      <c r="O223" s="177"/>
      <c r="P223" s="124"/>
    </row>
    <row r="224" spans="2:16" x14ac:dyDescent="0.2">
      <c r="B224" s="123"/>
      <c r="C224" s="173" t="s">
        <v>245</v>
      </c>
      <c r="D224" s="173" t="s">
        <v>243</v>
      </c>
      <c r="E224" s="173" t="b">
        <v>1</v>
      </c>
      <c r="F224" s="173" t="s">
        <v>236</v>
      </c>
      <c r="G224" s="173" t="s">
        <v>234</v>
      </c>
      <c r="H224" s="41" t="str">
        <f t="shared" si="22"/>
        <v>Lower Test and Southampton Streams|Mixed|TRUE|900to1200|DrainedAr</v>
      </c>
      <c r="I224" s="174">
        <v>0.83784862253101577</v>
      </c>
      <c r="J224" s="174">
        <v>24.252438033369064</v>
      </c>
      <c r="K224" s="33" t="str">
        <f t="shared" si="23"/>
        <v>Mixed|900to1200</v>
      </c>
      <c r="L224" s="175">
        <f>AVERAGE(I224:I225)</f>
        <v>1.1009406842759006</v>
      </c>
      <c r="M224" s="176">
        <f>AVERAGE(J224:J225)</f>
        <v>21.505595231448183</v>
      </c>
      <c r="N224" s="174"/>
      <c r="O224" s="177"/>
      <c r="P224" s="124"/>
    </row>
    <row r="225" spans="2:16" x14ac:dyDescent="0.2">
      <c r="B225" s="123"/>
      <c r="C225" s="173" t="s">
        <v>245</v>
      </c>
      <c r="D225" s="173" t="s">
        <v>243</v>
      </c>
      <c r="E225" s="173" t="b">
        <v>1</v>
      </c>
      <c r="F225" s="173" t="s">
        <v>236</v>
      </c>
      <c r="G225" s="173" t="s">
        <v>235</v>
      </c>
      <c r="H225" s="41" t="str">
        <f t="shared" si="22"/>
        <v>Lower Test and Southampton Streams|Mixed|TRUE|900to1200|DrainedArGr</v>
      </c>
      <c r="I225" s="174">
        <v>1.3640327460207855</v>
      </c>
      <c r="J225" s="174">
        <v>18.758752429527298</v>
      </c>
      <c r="K225" s="33" t="str">
        <f t="shared" si="23"/>
        <v>Mixed|900to1200</v>
      </c>
      <c r="L225" s="175"/>
      <c r="M225" s="176"/>
      <c r="N225" s="174"/>
      <c r="O225" s="177"/>
      <c r="P225" s="124"/>
    </row>
    <row r="226" spans="2:16" x14ac:dyDescent="0.2">
      <c r="B226" s="123"/>
      <c r="C226" s="179" t="s">
        <v>246</v>
      </c>
      <c r="D226" s="173" t="s">
        <v>237</v>
      </c>
      <c r="E226" s="173" t="b">
        <v>0</v>
      </c>
      <c r="F226" s="173" t="s">
        <v>232</v>
      </c>
      <c r="G226" s="173" t="s">
        <v>235</v>
      </c>
      <c r="H226" s="41" t="str">
        <f t="shared" si="22"/>
        <v>New Forest - Bartley Water|General|FALSE|700to900|DrainedArGr</v>
      </c>
      <c r="I226" s="174">
        <v>0.4772821643958769</v>
      </c>
      <c r="J226" s="174">
        <v>5.9751534078574116</v>
      </c>
      <c r="K226" s="33" t="str">
        <f t="shared" si="23"/>
        <v>General|700to900</v>
      </c>
      <c r="L226" s="175">
        <f>AVERAGE(I226)</f>
        <v>0.4772821643958769</v>
      </c>
      <c r="M226" s="176">
        <f>AVERAGE(J226)</f>
        <v>5.9751534078574116</v>
      </c>
      <c r="N226" s="174">
        <f>AVERAGE(I226:I227)</f>
        <v>0.4772821643958769</v>
      </c>
      <c r="O226" s="177">
        <f>AVERAGE(J226:J227)</f>
        <v>5.970421157203246</v>
      </c>
      <c r="P226" s="124"/>
    </row>
    <row r="227" spans="2:16" x14ac:dyDescent="0.2">
      <c r="B227" s="123"/>
      <c r="C227" s="179" t="s">
        <v>246</v>
      </c>
      <c r="D227" s="173" t="s">
        <v>237</v>
      </c>
      <c r="E227" s="173" t="b">
        <v>1</v>
      </c>
      <c r="F227" s="173" t="s">
        <v>232</v>
      </c>
      <c r="G227" s="173" t="s">
        <v>235</v>
      </c>
      <c r="H227" s="41" t="str">
        <f t="shared" si="22"/>
        <v>New Forest - Bartley Water|General|TRUE|700to900|DrainedArGr</v>
      </c>
      <c r="I227" s="174">
        <v>0.4772821643958769</v>
      </c>
      <c r="J227" s="174">
        <v>5.9656889065490812</v>
      </c>
      <c r="K227" s="33" t="str">
        <f t="shared" si="23"/>
        <v>General|700to900</v>
      </c>
      <c r="L227" s="175"/>
      <c r="M227" s="176"/>
      <c r="N227" s="174"/>
      <c r="O227" s="177"/>
      <c r="P227" s="124"/>
    </row>
    <row r="228" spans="2:16" x14ac:dyDescent="0.2">
      <c r="B228" s="123"/>
      <c r="C228" s="179" t="s">
        <v>246</v>
      </c>
      <c r="D228" s="173" t="s">
        <v>242</v>
      </c>
      <c r="E228" s="173" t="b">
        <v>0</v>
      </c>
      <c r="F228" s="173" t="s">
        <v>232</v>
      </c>
      <c r="G228" s="173" t="s">
        <v>234</v>
      </c>
      <c r="H228" s="41" t="str">
        <f t="shared" si="22"/>
        <v>New Forest - Bartley Water|Lowland|FALSE|700to900|DrainedAr</v>
      </c>
      <c r="I228" s="174">
        <v>0.15932398044623131</v>
      </c>
      <c r="J228" s="174">
        <v>8.3307598572054271</v>
      </c>
      <c r="K228" s="33" t="str">
        <f t="shared" si="23"/>
        <v>Lowland|700to900</v>
      </c>
      <c r="L228" s="175">
        <f>AVERAGE(I228,I229)</f>
        <v>0.36290985891574518</v>
      </c>
      <c r="M228" s="176">
        <f>AVERAGE(J228,J229)</f>
        <v>6.9269684109488434</v>
      </c>
      <c r="N228" s="174">
        <f>AVERAGE(I228:I232)</f>
        <v>0.65313988043174476</v>
      </c>
      <c r="O228" s="177">
        <f>AVERAGE(J228:J232)</f>
        <v>6.7924712459336858</v>
      </c>
      <c r="P228" s="124"/>
    </row>
    <row r="229" spans="2:16" x14ac:dyDescent="0.2">
      <c r="B229" s="123"/>
      <c r="C229" s="179" t="s">
        <v>246</v>
      </c>
      <c r="D229" s="173" t="s">
        <v>242</v>
      </c>
      <c r="E229" s="173" t="b">
        <v>0</v>
      </c>
      <c r="F229" s="173" t="s">
        <v>232</v>
      </c>
      <c r="G229" s="173" t="s">
        <v>235</v>
      </c>
      <c r="H229" s="41" t="str">
        <f t="shared" si="22"/>
        <v>New Forest - Bartley Water|Lowland|FALSE|700to900|DrainedArGr</v>
      </c>
      <c r="I229" s="174">
        <v>0.56649573738525905</v>
      </c>
      <c r="J229" s="174">
        <v>5.5231769646922606</v>
      </c>
      <c r="K229" s="33" t="str">
        <f t="shared" si="23"/>
        <v>Lowland|700to900</v>
      </c>
      <c r="L229" s="175"/>
      <c r="M229" s="176"/>
      <c r="N229" s="174"/>
      <c r="O229" s="177"/>
      <c r="P229" s="124"/>
    </row>
    <row r="230" spans="2:16" x14ac:dyDescent="0.2">
      <c r="B230" s="123"/>
      <c r="C230" s="179" t="s">
        <v>246</v>
      </c>
      <c r="D230" s="173" t="s">
        <v>242</v>
      </c>
      <c r="E230" s="173" t="b">
        <v>1</v>
      </c>
      <c r="F230" s="173" t="s">
        <v>232</v>
      </c>
      <c r="G230" s="173" t="s">
        <v>235</v>
      </c>
      <c r="H230" s="41" t="str">
        <f t="shared" si="22"/>
        <v>New Forest - Bartley Water|Lowland|TRUE|700to900|DrainedArGr</v>
      </c>
      <c r="I230" s="174">
        <v>0.56647133920414194</v>
      </c>
      <c r="J230" s="174">
        <v>5.5095385897554134</v>
      </c>
      <c r="K230" s="33" t="str">
        <f t="shared" si="23"/>
        <v>Lowland|700to900</v>
      </c>
      <c r="L230" s="175"/>
      <c r="M230" s="176"/>
      <c r="N230" s="174"/>
      <c r="O230" s="177"/>
      <c r="P230" s="124"/>
    </row>
    <row r="231" spans="2:16" x14ac:dyDescent="0.2">
      <c r="B231" s="123"/>
      <c r="C231" s="179" t="s">
        <v>246</v>
      </c>
      <c r="D231" s="173" t="s">
        <v>242</v>
      </c>
      <c r="E231" s="173" t="b">
        <v>0</v>
      </c>
      <c r="F231" s="173" t="s">
        <v>236</v>
      </c>
      <c r="G231" s="173" t="s">
        <v>235</v>
      </c>
      <c r="H231" s="41" t="str">
        <f t="shared" si="22"/>
        <v>New Forest - Bartley Water|Lowland|FALSE|900to1200|DrainedArGr</v>
      </c>
      <c r="I231" s="174">
        <v>0.98671969262421011</v>
      </c>
      <c r="J231" s="174">
        <v>7.3066127721106673</v>
      </c>
      <c r="K231" s="33" t="str">
        <f t="shared" si="23"/>
        <v>Lowland|900to1200</v>
      </c>
      <c r="L231" s="175">
        <f>AVERAGE(I231)</f>
        <v>0.98671969262421011</v>
      </c>
      <c r="M231" s="176">
        <f>AVERAGE(J231)</f>
        <v>7.3066127721106673</v>
      </c>
      <c r="N231" s="174"/>
      <c r="O231" s="177"/>
      <c r="P231" s="124"/>
    </row>
    <row r="232" spans="2:16" x14ac:dyDescent="0.2">
      <c r="B232" s="123"/>
      <c r="C232" s="179" t="s">
        <v>246</v>
      </c>
      <c r="D232" s="173" t="s">
        <v>242</v>
      </c>
      <c r="E232" s="173" t="b">
        <v>1</v>
      </c>
      <c r="F232" s="173" t="s">
        <v>236</v>
      </c>
      <c r="G232" s="173" t="s">
        <v>235</v>
      </c>
      <c r="H232" s="41" t="str">
        <f t="shared" si="22"/>
        <v>New Forest - Bartley Water|Lowland|TRUE|900to1200|DrainedArGr</v>
      </c>
      <c r="I232" s="174">
        <v>0.98668865249888138</v>
      </c>
      <c r="J232" s="174">
        <v>7.2922680459046605</v>
      </c>
      <c r="K232" s="33" t="str">
        <f t="shared" si="23"/>
        <v>Lowland|900to1200</v>
      </c>
      <c r="L232" s="175"/>
      <c r="M232" s="176"/>
      <c r="N232" s="174"/>
      <c r="O232" s="177"/>
      <c r="P232" s="124"/>
    </row>
    <row r="233" spans="2:16" x14ac:dyDescent="0.2">
      <c r="B233" s="123"/>
      <c r="C233" s="179" t="s">
        <v>246</v>
      </c>
      <c r="D233" s="173" t="s">
        <v>243</v>
      </c>
      <c r="E233" s="173" t="b">
        <v>0</v>
      </c>
      <c r="F233" s="173" t="s">
        <v>232</v>
      </c>
      <c r="G233" s="173" t="s">
        <v>234</v>
      </c>
      <c r="H233" s="41" t="str">
        <f t="shared" si="22"/>
        <v>New Forest - Bartley Water|Mixed|FALSE|700to900|DrainedAr</v>
      </c>
      <c r="I233" s="174">
        <v>0.2154967456134721</v>
      </c>
      <c r="J233" s="174">
        <v>19.930875382900034</v>
      </c>
      <c r="K233" s="33" t="str">
        <f t="shared" si="23"/>
        <v>Mixed|700to900</v>
      </c>
      <c r="L233" s="175">
        <f>AVERAGE(I233:I234)</f>
        <v>0.51663147779347074</v>
      </c>
      <c r="M233" s="176">
        <f>AVERAGE(J233:J234)</f>
        <v>16.059138430447813</v>
      </c>
      <c r="N233" s="174">
        <f>AVERAGE(I233:I235)</f>
        <v>0.78846241411493745</v>
      </c>
      <c r="O233" s="177">
        <f>AVERAGE(J233:J235)</f>
        <v>15.816197548724917</v>
      </c>
      <c r="P233" s="124"/>
    </row>
    <row r="234" spans="2:16" x14ac:dyDescent="0.2">
      <c r="B234" s="123"/>
      <c r="C234" s="179" t="s">
        <v>246</v>
      </c>
      <c r="D234" s="173" t="s">
        <v>243</v>
      </c>
      <c r="E234" s="173" t="b">
        <v>0</v>
      </c>
      <c r="F234" s="173" t="s">
        <v>232</v>
      </c>
      <c r="G234" s="173" t="s">
        <v>235</v>
      </c>
      <c r="H234" s="41" t="str">
        <f t="shared" si="22"/>
        <v>New Forest - Bartley Water|Mixed|FALSE|700to900|DrainedArGr</v>
      </c>
      <c r="I234" s="174">
        <v>0.81776620997346938</v>
      </c>
      <c r="J234" s="174">
        <v>12.187401477995593</v>
      </c>
      <c r="K234" s="33" t="str">
        <f t="shared" si="23"/>
        <v>Mixed|700to900</v>
      </c>
      <c r="L234" s="175"/>
      <c r="M234" s="176"/>
      <c r="N234" s="174"/>
      <c r="O234" s="177"/>
      <c r="P234" s="124"/>
    </row>
    <row r="235" spans="2:16" x14ac:dyDescent="0.2">
      <c r="B235" s="123"/>
      <c r="C235" s="179" t="s">
        <v>246</v>
      </c>
      <c r="D235" s="173" t="s">
        <v>243</v>
      </c>
      <c r="E235" s="173" t="b">
        <v>1</v>
      </c>
      <c r="F235" s="173" t="s">
        <v>236</v>
      </c>
      <c r="G235" s="173" t="s">
        <v>235</v>
      </c>
      <c r="H235" s="41" t="str">
        <f t="shared" si="22"/>
        <v>New Forest - Bartley Water|Mixed|TRUE|900to1200|DrainedArGr</v>
      </c>
      <c r="I235" s="174">
        <v>1.3321242867578709</v>
      </c>
      <c r="J235" s="174">
        <v>15.330315785279124</v>
      </c>
      <c r="K235" s="33" t="str">
        <f t="shared" si="23"/>
        <v>Mixed|900to1200</v>
      </c>
      <c r="L235" s="175">
        <f>AVERAGE(I235)</f>
        <v>1.3321242867578709</v>
      </c>
      <c r="M235" s="176">
        <f>AVERAGE(J235)</f>
        <v>15.330315785279124</v>
      </c>
      <c r="N235" s="174"/>
      <c r="O235" s="177"/>
      <c r="P235" s="124"/>
    </row>
    <row r="236" spans="2:16" x14ac:dyDescent="0.2">
      <c r="B236" s="123"/>
      <c r="C236" s="179" t="s">
        <v>247</v>
      </c>
      <c r="D236" s="173" t="s">
        <v>237</v>
      </c>
      <c r="E236" s="173" t="b">
        <v>0</v>
      </c>
      <c r="F236" s="173" t="s">
        <v>232</v>
      </c>
      <c r="G236" s="173" t="s">
        <v>233</v>
      </c>
      <c r="H236" s="41" t="str">
        <f t="shared" si="22"/>
        <v>New Forest - Hatchet Sowley|General|FALSE|700to900|FreeDrain</v>
      </c>
      <c r="I236" s="174">
        <v>0.11019166679984213</v>
      </c>
      <c r="J236" s="174">
        <v>22.276702213116803</v>
      </c>
      <c r="K236" s="33" t="str">
        <f t="shared" si="23"/>
        <v>General|700to900</v>
      </c>
      <c r="L236" s="175">
        <f>AVERAGE(I236,I238,I239)</f>
        <v>0.419583845867808</v>
      </c>
      <c r="M236" s="176">
        <f>AVERAGE(J236,J238,J239)</f>
        <v>18.005620862192821</v>
      </c>
      <c r="N236" s="174">
        <f>AVERAGE(I236:I239)</f>
        <v>0.34223580110081653</v>
      </c>
      <c r="O236" s="177">
        <f>AVERAGE(J236:J239)</f>
        <v>19.056529305173555</v>
      </c>
      <c r="P236" s="124"/>
    </row>
    <row r="237" spans="2:16" x14ac:dyDescent="0.2">
      <c r="B237" s="123"/>
      <c r="C237" s="179" t="s">
        <v>247</v>
      </c>
      <c r="D237" s="173" t="s">
        <v>237</v>
      </c>
      <c r="E237" s="173" t="b">
        <v>1</v>
      </c>
      <c r="F237" s="173" t="s">
        <v>232</v>
      </c>
      <c r="G237" s="173" t="s">
        <v>233</v>
      </c>
      <c r="H237" s="41" t="str">
        <f t="shared" si="22"/>
        <v>New Forest - Hatchet Sowley|General|TRUE|700to900|FreeDrain</v>
      </c>
      <c r="I237" s="174">
        <v>0.11019166679984213</v>
      </c>
      <c r="J237" s="174">
        <v>22.209254634115759</v>
      </c>
      <c r="K237" s="33" t="str">
        <f t="shared" si="23"/>
        <v>General|700to900</v>
      </c>
      <c r="L237" s="175"/>
      <c r="M237" s="176"/>
      <c r="N237" s="174"/>
      <c r="O237" s="177"/>
      <c r="P237" s="124"/>
    </row>
    <row r="238" spans="2:16" x14ac:dyDescent="0.2">
      <c r="B238" s="123"/>
      <c r="C238" s="179" t="s">
        <v>247</v>
      </c>
      <c r="D238" s="173" t="s">
        <v>237</v>
      </c>
      <c r="E238" s="173" t="b">
        <v>0</v>
      </c>
      <c r="F238" s="173" t="s">
        <v>232</v>
      </c>
      <c r="G238" s="173" t="s">
        <v>234</v>
      </c>
      <c r="H238" s="41" t="str">
        <f t="shared" si="22"/>
        <v>New Forest - Hatchet Sowley|General|FALSE|700to900|DrainedAr</v>
      </c>
      <c r="I238" s="174">
        <v>0.46026754109756213</v>
      </c>
      <c r="J238" s="174">
        <v>16.627864813635171</v>
      </c>
      <c r="K238" s="33" t="str">
        <f t="shared" si="23"/>
        <v>General|700to900</v>
      </c>
      <c r="L238" s="175"/>
      <c r="M238" s="176"/>
      <c r="N238" s="174"/>
      <c r="O238" s="177"/>
      <c r="P238" s="124"/>
    </row>
    <row r="239" spans="2:16" x14ac:dyDescent="0.2">
      <c r="B239" s="123"/>
      <c r="C239" s="179" t="s">
        <v>247</v>
      </c>
      <c r="D239" s="173" t="s">
        <v>237</v>
      </c>
      <c r="E239" s="173" t="b">
        <v>0</v>
      </c>
      <c r="F239" s="173" t="s">
        <v>232</v>
      </c>
      <c r="G239" s="173" t="s">
        <v>235</v>
      </c>
      <c r="H239" s="41" t="str">
        <f t="shared" si="22"/>
        <v>New Forest - Hatchet Sowley|General|FALSE|700to900|DrainedArGr</v>
      </c>
      <c r="I239" s="174">
        <v>0.68829232970601972</v>
      </c>
      <c r="J239" s="174">
        <v>15.112295559826485</v>
      </c>
      <c r="K239" s="33" t="str">
        <f t="shared" si="23"/>
        <v>General|700to900</v>
      </c>
      <c r="L239" s="175"/>
      <c r="M239" s="176"/>
      <c r="N239" s="174"/>
      <c r="O239" s="177"/>
      <c r="P239" s="124"/>
    </row>
    <row r="240" spans="2:16" x14ac:dyDescent="0.2">
      <c r="B240" s="123"/>
      <c r="C240" s="179" t="s">
        <v>247</v>
      </c>
      <c r="D240" s="173" t="s">
        <v>242</v>
      </c>
      <c r="E240" s="173" t="b">
        <v>0</v>
      </c>
      <c r="F240" s="173" t="s">
        <v>232</v>
      </c>
      <c r="G240" s="173" t="s">
        <v>233</v>
      </c>
      <c r="H240" s="41" t="str">
        <f t="shared" si="22"/>
        <v>New Forest - Hatchet Sowley|Lowland|FALSE|700to900|FreeDrain</v>
      </c>
      <c r="I240" s="174">
        <v>0.10996556962156544</v>
      </c>
      <c r="J240" s="174">
        <v>16.838014230425912</v>
      </c>
      <c r="K240" s="33" t="str">
        <f t="shared" si="23"/>
        <v>Lowland|700to900</v>
      </c>
      <c r="L240" s="175"/>
      <c r="M240" s="176"/>
      <c r="N240" s="174">
        <f>AVERAGE(I240:I244)</f>
        <v>0.25770363125269924</v>
      </c>
      <c r="O240" s="177">
        <f>AVERAGE(J240:J244)</f>
        <v>13.573297863504553</v>
      </c>
      <c r="P240" s="124"/>
    </row>
    <row r="241" spans="2:16" x14ac:dyDescent="0.2">
      <c r="B241" s="123"/>
      <c r="C241" s="179" t="s">
        <v>247</v>
      </c>
      <c r="D241" s="173" t="s">
        <v>242</v>
      </c>
      <c r="E241" s="173" t="b">
        <v>1</v>
      </c>
      <c r="F241" s="173" t="s">
        <v>232</v>
      </c>
      <c r="G241" s="173" t="s">
        <v>233</v>
      </c>
      <c r="H241" s="41" t="str">
        <f t="shared" si="22"/>
        <v>New Forest - Hatchet Sowley|Lowland|TRUE|700to900|FreeDrain</v>
      </c>
      <c r="I241" s="174">
        <v>0.10993062674751375</v>
      </c>
      <c r="J241" s="174">
        <v>16.695666934122794</v>
      </c>
      <c r="K241" s="33" t="str">
        <f t="shared" si="23"/>
        <v>Lowland|700to900</v>
      </c>
      <c r="L241" s="175"/>
      <c r="M241" s="176"/>
      <c r="N241" s="174"/>
      <c r="O241" s="177"/>
      <c r="P241" s="124"/>
    </row>
    <row r="242" spans="2:16" x14ac:dyDescent="0.2">
      <c r="B242" s="123"/>
      <c r="C242" s="179" t="s">
        <v>247</v>
      </c>
      <c r="D242" s="173" t="s">
        <v>242</v>
      </c>
      <c r="E242" s="173" t="b">
        <v>0</v>
      </c>
      <c r="F242" s="173" t="s">
        <v>232</v>
      </c>
      <c r="G242" s="173" t="s">
        <v>234</v>
      </c>
      <c r="H242" s="41" t="str">
        <f t="shared" si="22"/>
        <v>New Forest - Hatchet Sowley|Lowland|FALSE|700to900|DrainedAr</v>
      </c>
      <c r="I242" s="174">
        <v>0.21274918563056139</v>
      </c>
      <c r="J242" s="174">
        <v>13.041948520739737</v>
      </c>
      <c r="K242" s="33" t="str">
        <f t="shared" si="23"/>
        <v>Lowland|700to900</v>
      </c>
      <c r="L242" s="175"/>
      <c r="M242" s="176"/>
      <c r="N242" s="174"/>
      <c r="O242" s="177"/>
      <c r="P242" s="124"/>
    </row>
    <row r="243" spans="2:16" x14ac:dyDescent="0.2">
      <c r="B243" s="123"/>
      <c r="C243" s="179" t="s">
        <v>247</v>
      </c>
      <c r="D243" s="173" t="s">
        <v>242</v>
      </c>
      <c r="E243" s="173" t="b">
        <v>1</v>
      </c>
      <c r="F243" s="173" t="s">
        <v>232</v>
      </c>
      <c r="G243" s="173" t="s">
        <v>234</v>
      </c>
      <c r="H243" s="41" t="str">
        <f t="shared" si="22"/>
        <v>New Forest - Hatchet Sowley|Lowland|TRUE|700to900|DrainedAr</v>
      </c>
      <c r="I243" s="174">
        <v>0.21249158453577005</v>
      </c>
      <c r="J243" s="174">
        <v>12.922869101719225</v>
      </c>
      <c r="K243" s="33" t="str">
        <f t="shared" si="23"/>
        <v>Lowland|700to900</v>
      </c>
      <c r="L243" s="175"/>
      <c r="M243" s="176"/>
      <c r="N243" s="174"/>
      <c r="O243" s="177"/>
      <c r="P243" s="124"/>
    </row>
    <row r="244" spans="2:16" x14ac:dyDescent="0.2">
      <c r="B244" s="123"/>
      <c r="C244" s="179" t="s">
        <v>247</v>
      </c>
      <c r="D244" s="173" t="s">
        <v>242</v>
      </c>
      <c r="E244" s="173" t="b">
        <v>0</v>
      </c>
      <c r="F244" s="173" t="s">
        <v>232</v>
      </c>
      <c r="G244" s="173" t="s">
        <v>235</v>
      </c>
      <c r="H244" s="41" t="str">
        <f t="shared" si="22"/>
        <v>New Forest - Hatchet Sowley|Lowland|FALSE|700to900|DrainedArGr</v>
      </c>
      <c r="I244" s="174">
        <v>0.64338118972808567</v>
      </c>
      <c r="J244" s="174">
        <v>8.3679905305150903</v>
      </c>
      <c r="K244" s="33" t="str">
        <f t="shared" si="23"/>
        <v>Lowland|700to900</v>
      </c>
      <c r="L244" s="175"/>
      <c r="M244" s="176"/>
      <c r="N244" s="174"/>
      <c r="O244" s="177"/>
      <c r="P244" s="124"/>
    </row>
    <row r="245" spans="2:16" x14ac:dyDescent="0.2">
      <c r="B245" s="123"/>
      <c r="C245" s="179" t="s">
        <v>248</v>
      </c>
      <c r="D245" s="173" t="s">
        <v>117</v>
      </c>
      <c r="E245" s="173" t="b">
        <v>0</v>
      </c>
      <c r="F245" s="173" t="s">
        <v>232</v>
      </c>
      <c r="G245" s="173" t="s">
        <v>233</v>
      </c>
      <c r="H245" s="41" t="str">
        <f t="shared" si="22"/>
        <v>New Forest - Lymington and Beaulieu|Cereals|FALSE|700to900|FreeDrain</v>
      </c>
      <c r="I245" s="174">
        <v>0.13422408455471824</v>
      </c>
      <c r="J245" s="174">
        <v>23.666133573412345</v>
      </c>
      <c r="K245" s="33" t="str">
        <f t="shared" si="23"/>
        <v>Cereals|700to900</v>
      </c>
      <c r="L245" s="175">
        <f>AVERAGE(I245,I247)</f>
        <v>0.36931493784675873</v>
      </c>
      <c r="M245" s="176">
        <f>AVERAGE(J245,J247)</f>
        <v>20.759007268760737</v>
      </c>
      <c r="N245" s="174">
        <f>AVERAGE(I245:I248)</f>
        <v>0.36929954936105558</v>
      </c>
      <c r="O245" s="177">
        <f>AVERAGE(J245:J248)</f>
        <v>20.729693424677681</v>
      </c>
      <c r="P245" s="124"/>
    </row>
    <row r="246" spans="2:16" x14ac:dyDescent="0.2">
      <c r="B246" s="123"/>
      <c r="C246" s="179" t="s">
        <v>248</v>
      </c>
      <c r="D246" s="173" t="s">
        <v>117</v>
      </c>
      <c r="E246" s="173" t="b">
        <v>1</v>
      </c>
      <c r="F246" s="173" t="s">
        <v>232</v>
      </c>
      <c r="G246" s="173" t="s">
        <v>233</v>
      </c>
      <c r="H246" s="41" t="str">
        <f t="shared" si="22"/>
        <v>New Forest - Lymington and Beaulieu|Cereals|TRUE|700to900|FreeDrain</v>
      </c>
      <c r="I246" s="174">
        <v>0.13421266323735412</v>
      </c>
      <c r="J246" s="174">
        <v>23.597001106788731</v>
      </c>
      <c r="K246" s="33" t="str">
        <f t="shared" si="23"/>
        <v>Cereals|700to900</v>
      </c>
      <c r="L246" s="175"/>
      <c r="M246" s="176"/>
      <c r="N246" s="174"/>
      <c r="O246" s="177"/>
      <c r="P246" s="124"/>
    </row>
    <row r="247" spans="2:16" x14ac:dyDescent="0.2">
      <c r="B247" s="123"/>
      <c r="C247" s="179" t="s">
        <v>248</v>
      </c>
      <c r="D247" s="173" t="s">
        <v>117</v>
      </c>
      <c r="E247" s="173" t="b">
        <v>0</v>
      </c>
      <c r="F247" s="173" t="s">
        <v>232</v>
      </c>
      <c r="G247" s="173" t="s">
        <v>234</v>
      </c>
      <c r="H247" s="41" t="str">
        <f t="shared" si="22"/>
        <v>New Forest - Lymington and Beaulieu|Cereals|FALSE|700to900|DrainedAr</v>
      </c>
      <c r="I247" s="174">
        <v>0.60440579113879922</v>
      </c>
      <c r="J247" s="174">
        <v>17.851880964109128</v>
      </c>
      <c r="K247" s="33" t="str">
        <f t="shared" si="23"/>
        <v>Cereals|700to900</v>
      </c>
      <c r="L247" s="175"/>
      <c r="M247" s="176"/>
      <c r="N247" s="174"/>
      <c r="O247" s="177"/>
      <c r="P247" s="124"/>
    </row>
    <row r="248" spans="2:16" x14ac:dyDescent="0.2">
      <c r="B248" s="123"/>
      <c r="C248" s="179" t="s">
        <v>248</v>
      </c>
      <c r="D248" s="173" t="s">
        <v>117</v>
      </c>
      <c r="E248" s="173" t="b">
        <v>1</v>
      </c>
      <c r="F248" s="173" t="s">
        <v>232</v>
      </c>
      <c r="G248" s="173" t="s">
        <v>234</v>
      </c>
      <c r="H248" s="41" t="str">
        <f t="shared" si="22"/>
        <v>New Forest - Lymington and Beaulieu|Cereals|TRUE|700to900|DrainedAr</v>
      </c>
      <c r="I248" s="174">
        <v>0.60435565851335071</v>
      </c>
      <c r="J248" s="174">
        <v>17.803758054400518</v>
      </c>
      <c r="K248" s="33" t="str">
        <f t="shared" si="23"/>
        <v>Cereals|700to900</v>
      </c>
      <c r="L248" s="175"/>
      <c r="M248" s="176"/>
      <c r="N248" s="174"/>
      <c r="O248" s="177"/>
      <c r="P248" s="124"/>
    </row>
    <row r="249" spans="2:16" x14ac:dyDescent="0.2">
      <c r="B249" s="123"/>
      <c r="C249" s="179" t="s">
        <v>248</v>
      </c>
      <c r="D249" s="173" t="s">
        <v>237</v>
      </c>
      <c r="E249" s="173" t="b">
        <v>0</v>
      </c>
      <c r="F249" s="173" t="s">
        <v>232</v>
      </c>
      <c r="G249" s="173" t="s">
        <v>233</v>
      </c>
      <c r="H249" s="41" t="str">
        <f t="shared" si="22"/>
        <v>New Forest - Lymington and Beaulieu|General|FALSE|700to900|FreeDrain</v>
      </c>
      <c r="I249" s="174">
        <v>8.6849192425709446E-2</v>
      </c>
      <c r="J249" s="174">
        <v>12.057537089308719</v>
      </c>
      <c r="K249" s="33" t="str">
        <f t="shared" si="23"/>
        <v>General|700to900</v>
      </c>
      <c r="L249" s="175">
        <f>AVERAGE(I249,I251,I253)</f>
        <v>0.28289804421123155</v>
      </c>
      <c r="M249" s="176">
        <f>AVERAGE(J249,J251,J253)</f>
        <v>9.6294197330180413</v>
      </c>
      <c r="N249" s="174">
        <f>AVERAGE(I249:I253)</f>
        <v>0.23665745723508405</v>
      </c>
      <c r="O249" s="177">
        <f>AVERAGE(J249:J253)</f>
        <v>9.9979888641866594</v>
      </c>
      <c r="P249" s="124"/>
    </row>
    <row r="250" spans="2:16" x14ac:dyDescent="0.2">
      <c r="B250" s="123"/>
      <c r="C250" s="179" t="s">
        <v>248</v>
      </c>
      <c r="D250" s="173" t="s">
        <v>237</v>
      </c>
      <c r="E250" s="173" t="b">
        <v>1</v>
      </c>
      <c r="F250" s="173" t="s">
        <v>232</v>
      </c>
      <c r="G250" s="173" t="s">
        <v>233</v>
      </c>
      <c r="H250" s="41" t="str">
        <f t="shared" si="22"/>
        <v>New Forest - Lymington and Beaulieu|General|TRUE|700to900|FreeDrain</v>
      </c>
      <c r="I250" s="174">
        <v>8.6849192425709446E-2</v>
      </c>
      <c r="J250" s="174">
        <v>12.028880319689367</v>
      </c>
      <c r="K250" s="33" t="str">
        <f t="shared" si="23"/>
        <v>General|700to900</v>
      </c>
      <c r="L250" s="175"/>
      <c r="M250" s="176"/>
      <c r="N250" s="174"/>
      <c r="O250" s="177"/>
      <c r="P250" s="124"/>
    </row>
    <row r="251" spans="2:16" x14ac:dyDescent="0.2">
      <c r="B251" s="123"/>
      <c r="C251" s="179" t="s">
        <v>248</v>
      </c>
      <c r="D251" s="173" t="s">
        <v>237</v>
      </c>
      <c r="E251" s="173" t="b">
        <v>0</v>
      </c>
      <c r="F251" s="173" t="s">
        <v>232</v>
      </c>
      <c r="G251" s="173" t="s">
        <v>234</v>
      </c>
      <c r="H251" s="41" t="str">
        <f t="shared" si="22"/>
        <v>New Forest - Lymington and Beaulieu|General|FALSE|700to900|DrainedAr</v>
      </c>
      <c r="I251" s="174">
        <v>0.24774396111601615</v>
      </c>
      <c r="J251" s="174">
        <v>9.0917485788112042</v>
      </c>
      <c r="K251" s="33" t="str">
        <f t="shared" si="23"/>
        <v>General|700to900</v>
      </c>
      <c r="L251" s="175"/>
      <c r="M251" s="176"/>
      <c r="N251" s="174"/>
      <c r="O251" s="177"/>
      <c r="P251" s="124"/>
    </row>
    <row r="252" spans="2:16" x14ac:dyDescent="0.2">
      <c r="B252" s="123"/>
      <c r="C252" s="179" t="s">
        <v>248</v>
      </c>
      <c r="D252" s="173" t="s">
        <v>237</v>
      </c>
      <c r="E252" s="173" t="b">
        <v>1</v>
      </c>
      <c r="F252" s="173" t="s">
        <v>232</v>
      </c>
      <c r="G252" s="173" t="s">
        <v>234</v>
      </c>
      <c r="H252" s="41" t="str">
        <f t="shared" si="22"/>
        <v>New Forest - Lymington and Beaulieu|General|TRUE|700to900|DrainedAr</v>
      </c>
      <c r="I252" s="174">
        <v>0.24774396111601615</v>
      </c>
      <c r="J252" s="174">
        <v>9.0728048021898005</v>
      </c>
      <c r="K252" s="33" t="str">
        <f t="shared" si="23"/>
        <v>General|700to900</v>
      </c>
      <c r="L252" s="175"/>
      <c r="M252" s="176"/>
      <c r="N252" s="174"/>
      <c r="O252" s="177"/>
      <c r="P252" s="124"/>
    </row>
    <row r="253" spans="2:16" x14ac:dyDescent="0.2">
      <c r="B253" s="123"/>
      <c r="C253" s="179" t="s">
        <v>248</v>
      </c>
      <c r="D253" s="173" t="s">
        <v>237</v>
      </c>
      <c r="E253" s="173" t="b">
        <v>0</v>
      </c>
      <c r="F253" s="173" t="s">
        <v>232</v>
      </c>
      <c r="G253" s="173" t="s">
        <v>235</v>
      </c>
      <c r="H253" s="41" t="str">
        <f t="shared" si="22"/>
        <v>New Forest - Lymington and Beaulieu|General|FALSE|700to900|DrainedArGr</v>
      </c>
      <c r="I253" s="174">
        <v>0.51410097909196906</v>
      </c>
      <c r="J253" s="174">
        <v>7.7389735309342012</v>
      </c>
      <c r="K253" s="33" t="str">
        <f t="shared" si="23"/>
        <v>General|700to900</v>
      </c>
      <c r="L253" s="175"/>
      <c r="M253" s="176"/>
      <c r="N253" s="174"/>
      <c r="O253" s="177"/>
      <c r="P253" s="124"/>
    </row>
    <row r="254" spans="2:16" x14ac:dyDescent="0.2">
      <c r="B254" s="123"/>
      <c r="C254" s="179" t="s">
        <v>248</v>
      </c>
      <c r="D254" s="173" t="s">
        <v>238</v>
      </c>
      <c r="E254" s="173" t="b">
        <v>1</v>
      </c>
      <c r="F254" s="173" t="s">
        <v>232</v>
      </c>
      <c r="G254" s="173" t="s">
        <v>234</v>
      </c>
      <c r="H254" s="41" t="str">
        <f t="shared" si="22"/>
        <v>New Forest - Lymington and Beaulieu|Horticulture|TRUE|700to900|DrainedAr</v>
      </c>
      <c r="I254" s="174">
        <v>0.42419919892690466</v>
      </c>
      <c r="J254" s="174">
        <v>10.331246031239175</v>
      </c>
      <c r="K254" s="33" t="str">
        <f t="shared" si="23"/>
        <v>Horticulture|700to900</v>
      </c>
      <c r="L254" s="175">
        <f>AVERAGE(I254:I255)</f>
        <v>0.56054262215718431</v>
      </c>
      <c r="M254" s="176">
        <f>AVERAGE(J254:J255)</f>
        <v>9.5794492093078283</v>
      </c>
      <c r="N254" s="174">
        <f>AVERAGE(I254:I255)</f>
        <v>0.56054262215718431</v>
      </c>
      <c r="O254" s="177">
        <f>AVERAGE(J254:J255)</f>
        <v>9.5794492093078283</v>
      </c>
      <c r="P254" s="124"/>
    </row>
    <row r="255" spans="2:16" x14ac:dyDescent="0.2">
      <c r="B255" s="123"/>
      <c r="C255" s="179" t="s">
        <v>248</v>
      </c>
      <c r="D255" s="173" t="s">
        <v>238</v>
      </c>
      <c r="E255" s="173" t="b">
        <v>0</v>
      </c>
      <c r="F255" s="173" t="s">
        <v>232</v>
      </c>
      <c r="G255" s="173" t="s">
        <v>235</v>
      </c>
      <c r="H255" s="41" t="str">
        <f t="shared" si="22"/>
        <v>New Forest - Lymington and Beaulieu|Horticulture|FALSE|700to900|DrainedArGr</v>
      </c>
      <c r="I255" s="174">
        <v>0.6968860453874639</v>
      </c>
      <c r="J255" s="174">
        <v>8.8276523873764798</v>
      </c>
      <c r="K255" s="33" t="str">
        <f t="shared" si="23"/>
        <v>Horticulture|700to900</v>
      </c>
      <c r="L255" s="175"/>
      <c r="M255" s="176"/>
      <c r="N255" s="174"/>
      <c r="O255" s="177"/>
      <c r="P255" s="124"/>
    </row>
    <row r="256" spans="2:16" x14ac:dyDescent="0.2">
      <c r="B256" s="123"/>
      <c r="C256" s="179" t="s">
        <v>248</v>
      </c>
      <c r="D256" s="173" t="s">
        <v>240</v>
      </c>
      <c r="E256" s="173" t="b">
        <v>0</v>
      </c>
      <c r="F256" s="173" t="s">
        <v>232</v>
      </c>
      <c r="G256" s="173" t="s">
        <v>233</v>
      </c>
      <c r="H256" s="41" t="str">
        <f t="shared" si="22"/>
        <v>New Forest - Lymington and Beaulieu|Poultry|FALSE|700to900|FreeDrain</v>
      </c>
      <c r="I256" s="174">
        <v>0.39930740890825267</v>
      </c>
      <c r="J256" s="174">
        <v>330.50536609616421</v>
      </c>
      <c r="K256" s="33" t="str">
        <f t="shared" si="23"/>
        <v>Poultry|700to900</v>
      </c>
      <c r="L256" s="175">
        <f>AVERAGE(I257:I259)</f>
        <v>1.0460745923751891</v>
      </c>
      <c r="M256" s="176">
        <f>AVERAGE(J257:J259)</f>
        <v>241.32843142930471</v>
      </c>
      <c r="N256" s="174">
        <f>AVERAGE(I256:I259)</f>
        <v>0.88438279650845508</v>
      </c>
      <c r="O256" s="177">
        <f>AVERAGE(J256:J259)</f>
        <v>263.62266509601955</v>
      </c>
      <c r="P256" s="124"/>
    </row>
    <row r="257" spans="2:16" x14ac:dyDescent="0.2">
      <c r="B257" s="123"/>
      <c r="C257" s="179" t="s">
        <v>248</v>
      </c>
      <c r="D257" s="173" t="s">
        <v>240</v>
      </c>
      <c r="E257" s="173" t="b">
        <v>1</v>
      </c>
      <c r="F257" s="173" t="s">
        <v>232</v>
      </c>
      <c r="G257" s="173" t="s">
        <v>233</v>
      </c>
      <c r="H257" s="41" t="str">
        <f t="shared" si="22"/>
        <v>New Forest - Lymington and Beaulieu|Poultry|TRUE|700to900|FreeDrain</v>
      </c>
      <c r="I257" s="174">
        <v>0.39035495878095933</v>
      </c>
      <c r="J257" s="174">
        <v>331.18227287016441</v>
      </c>
      <c r="K257" s="33" t="str">
        <f t="shared" si="23"/>
        <v>Poultry|700to900</v>
      </c>
      <c r="L257" s="175"/>
      <c r="M257" s="176"/>
      <c r="N257" s="174"/>
      <c r="O257" s="177"/>
      <c r="P257" s="124"/>
    </row>
    <row r="258" spans="2:16" x14ac:dyDescent="0.2">
      <c r="B258" s="123"/>
      <c r="C258" s="179" t="s">
        <v>248</v>
      </c>
      <c r="D258" s="173" t="s">
        <v>240</v>
      </c>
      <c r="E258" s="173" t="b">
        <v>1</v>
      </c>
      <c r="F258" s="173" t="s">
        <v>232</v>
      </c>
      <c r="G258" s="173" t="s">
        <v>234</v>
      </c>
      <c r="H258" s="41" t="str">
        <f t="shared" si="22"/>
        <v>New Forest - Lymington and Beaulieu|Poultry|TRUE|700to900|DrainedAr</v>
      </c>
      <c r="I258" s="174">
        <v>0.63358681186417898</v>
      </c>
      <c r="J258" s="174">
        <v>223.64021018642558</v>
      </c>
      <c r="K258" s="33" t="str">
        <f t="shared" si="23"/>
        <v>Poultry|700to900</v>
      </c>
      <c r="L258" s="175"/>
      <c r="M258" s="176"/>
      <c r="N258" s="174"/>
      <c r="O258" s="177"/>
      <c r="P258" s="124"/>
    </row>
    <row r="259" spans="2:16" x14ac:dyDescent="0.2">
      <c r="B259" s="123"/>
      <c r="C259" s="179" t="s">
        <v>248</v>
      </c>
      <c r="D259" s="173" t="s">
        <v>240</v>
      </c>
      <c r="E259" s="173" t="b">
        <v>0</v>
      </c>
      <c r="F259" s="173" t="s">
        <v>232</v>
      </c>
      <c r="G259" s="173" t="s">
        <v>235</v>
      </c>
      <c r="H259" s="41" t="str">
        <f t="shared" si="22"/>
        <v>New Forest - Lymington and Beaulieu|Poultry|FALSE|700to900|DrainedArGr</v>
      </c>
      <c r="I259" s="174">
        <v>2.1142820064804293</v>
      </c>
      <c r="J259" s="174">
        <v>169.16281123132407</v>
      </c>
      <c r="K259" s="33" t="str">
        <f t="shared" si="23"/>
        <v>Poultry|700to900</v>
      </c>
      <c r="L259" s="175"/>
      <c r="M259" s="176"/>
      <c r="N259" s="174"/>
      <c r="O259" s="177"/>
      <c r="P259" s="124"/>
    </row>
    <row r="260" spans="2:16" x14ac:dyDescent="0.2">
      <c r="B260" s="123"/>
      <c r="C260" s="179" t="s">
        <v>248</v>
      </c>
      <c r="D260" s="173" t="s">
        <v>241</v>
      </c>
      <c r="E260" s="173" t="b">
        <v>0</v>
      </c>
      <c r="F260" s="173" t="s">
        <v>232</v>
      </c>
      <c r="G260" s="173" t="s">
        <v>233</v>
      </c>
      <c r="H260" s="41" t="str">
        <f t="shared" si="22"/>
        <v>New Forest - Lymington and Beaulieu|Dairy|FALSE|700to900|FreeDrain</v>
      </c>
      <c r="I260" s="174">
        <v>0.11508094029882447</v>
      </c>
      <c r="J260" s="174">
        <v>20.563968503803153</v>
      </c>
      <c r="K260" s="33" t="str">
        <f t="shared" si="23"/>
        <v>Dairy|700to900</v>
      </c>
      <c r="L260" s="175">
        <f>AVERAGE(I261:I262,I264)</f>
        <v>0.3580671840143162</v>
      </c>
      <c r="M260" s="176">
        <f>AVERAGE(J261:J262,J264)</f>
        <v>15.618368530572551</v>
      </c>
      <c r="N260" s="174">
        <f>AVERAGE(I260:I264)</f>
        <v>0.27942471101683164</v>
      </c>
      <c r="O260" s="177">
        <f>AVERAGE(J260:J264)</f>
        <v>16.638003110399911</v>
      </c>
      <c r="P260" s="124"/>
    </row>
    <row r="261" spans="2:16" x14ac:dyDescent="0.2">
      <c r="B261" s="123"/>
      <c r="C261" s="179" t="s">
        <v>248</v>
      </c>
      <c r="D261" s="173" t="s">
        <v>241</v>
      </c>
      <c r="E261" s="173" t="b">
        <v>1</v>
      </c>
      <c r="F261" s="173" t="s">
        <v>232</v>
      </c>
      <c r="G261" s="173" t="s">
        <v>233</v>
      </c>
      <c r="H261" s="41" t="str">
        <f t="shared" si="22"/>
        <v>New Forest - Lymington and Beaulieu|Dairy|TRUE|700to900|FreeDrain</v>
      </c>
      <c r="I261" s="174">
        <v>0.11439119238531446</v>
      </c>
      <c r="J261" s="174">
        <v>20.394075078469228</v>
      </c>
      <c r="K261" s="33" t="str">
        <f t="shared" si="23"/>
        <v>Dairy|700to900</v>
      </c>
      <c r="L261" s="175"/>
      <c r="M261" s="176"/>
      <c r="N261" s="174"/>
      <c r="O261" s="177"/>
      <c r="P261" s="124"/>
    </row>
    <row r="262" spans="2:16" x14ac:dyDescent="0.2">
      <c r="B262" s="123"/>
      <c r="C262" s="179" t="s">
        <v>248</v>
      </c>
      <c r="D262" s="173" t="s">
        <v>241</v>
      </c>
      <c r="E262" s="173" t="b">
        <v>0</v>
      </c>
      <c r="F262" s="173" t="s">
        <v>232</v>
      </c>
      <c r="G262" s="173" t="s">
        <v>234</v>
      </c>
      <c r="H262" s="41" t="str">
        <f t="shared" si="22"/>
        <v>New Forest - Lymington and Beaulieu|Dairy|FALSE|700to900|DrainedAr</v>
      </c>
      <c r="I262" s="174">
        <v>0.20869681431164522</v>
      </c>
      <c r="J262" s="174">
        <v>15.908643817235955</v>
      </c>
      <c r="K262" s="33" t="str">
        <f t="shared" si="23"/>
        <v>Dairy|700to900</v>
      </c>
      <c r="L262" s="175"/>
      <c r="M262" s="176"/>
      <c r="N262" s="174"/>
      <c r="O262" s="177"/>
      <c r="P262" s="124"/>
    </row>
    <row r="263" spans="2:16" x14ac:dyDescent="0.2">
      <c r="B263" s="123"/>
      <c r="C263" s="179" t="s">
        <v>248</v>
      </c>
      <c r="D263" s="173" t="s">
        <v>241</v>
      </c>
      <c r="E263" s="173" t="b">
        <v>1</v>
      </c>
      <c r="F263" s="173" t="s">
        <v>232</v>
      </c>
      <c r="G263" s="173" t="s">
        <v>234</v>
      </c>
      <c r="H263" s="41" t="str">
        <f t="shared" si="22"/>
        <v>New Forest - Lymington and Beaulieu|Dairy|TRUE|700to900|DrainedAr</v>
      </c>
      <c r="I263" s="174">
        <v>0.2078410627423854</v>
      </c>
      <c r="J263" s="174">
        <v>15.770941456478745</v>
      </c>
      <c r="K263" s="33" t="str">
        <f t="shared" si="23"/>
        <v>Dairy|700to900</v>
      </c>
      <c r="L263" s="175"/>
      <c r="M263" s="176"/>
      <c r="N263" s="174"/>
      <c r="O263" s="177"/>
      <c r="P263" s="124"/>
    </row>
    <row r="264" spans="2:16" x14ac:dyDescent="0.2">
      <c r="B264" s="123"/>
      <c r="C264" s="179" t="s">
        <v>248</v>
      </c>
      <c r="D264" s="173" t="s">
        <v>241</v>
      </c>
      <c r="E264" s="173" t="b">
        <v>0</v>
      </c>
      <c r="F264" s="173" t="s">
        <v>232</v>
      </c>
      <c r="G264" s="173" t="s">
        <v>235</v>
      </c>
      <c r="H264" s="41" t="str">
        <f t="shared" si="22"/>
        <v>New Forest - Lymington and Beaulieu|Dairy|FALSE|700to900|DrainedArGr</v>
      </c>
      <c r="I264" s="174">
        <v>0.75111354534598884</v>
      </c>
      <c r="J264" s="174">
        <v>10.552386696012469</v>
      </c>
      <c r="K264" s="33" t="str">
        <f t="shared" si="23"/>
        <v>Dairy|700to900</v>
      </c>
      <c r="L264" s="175"/>
      <c r="M264" s="176"/>
      <c r="N264" s="174"/>
      <c r="O264" s="177"/>
      <c r="P264" s="124"/>
    </row>
    <row r="265" spans="2:16" x14ac:dyDescent="0.2">
      <c r="B265" s="123"/>
      <c r="C265" s="179" t="s">
        <v>248</v>
      </c>
      <c r="D265" s="173" t="s">
        <v>242</v>
      </c>
      <c r="E265" s="173" t="b">
        <v>0</v>
      </c>
      <c r="F265" s="173" t="s">
        <v>232</v>
      </c>
      <c r="G265" s="173" t="s">
        <v>233</v>
      </c>
      <c r="H265" s="41" t="str">
        <f t="shared" si="22"/>
        <v>New Forest - Lymington and Beaulieu|Lowland|FALSE|700to900|FreeDrain</v>
      </c>
      <c r="I265" s="174">
        <v>9.1616124307590488E-2</v>
      </c>
      <c r="J265" s="174">
        <v>10.919915417491927</v>
      </c>
      <c r="K265" s="33" t="str">
        <f t="shared" si="23"/>
        <v>Lowland|700to900</v>
      </c>
      <c r="L265" s="175">
        <f>AVERAGE(I265,I267,I269)</f>
        <v>0.2553599842167113</v>
      </c>
      <c r="M265" s="176">
        <f>AVERAGE(J265,J267,J269)</f>
        <v>8.3229837483634466</v>
      </c>
      <c r="N265" s="174">
        <f>AVERAGE(I265:I270)</f>
        <v>0.25535513603595716</v>
      </c>
      <c r="O265" s="177">
        <f>AVERAGE(J265:J270)</f>
        <v>8.2995711611461616</v>
      </c>
      <c r="P265" s="124"/>
    </row>
    <row r="266" spans="2:16" x14ac:dyDescent="0.2">
      <c r="B266" s="123"/>
      <c r="C266" s="179" t="s">
        <v>248</v>
      </c>
      <c r="D266" s="173" t="s">
        <v>242</v>
      </c>
      <c r="E266" s="173" t="b">
        <v>1</v>
      </c>
      <c r="F266" s="173" t="s">
        <v>232</v>
      </c>
      <c r="G266" s="173" t="s">
        <v>233</v>
      </c>
      <c r="H266" s="41" t="str">
        <f t="shared" si="22"/>
        <v>New Forest - Lymington and Beaulieu|Lowland|TRUE|700to900|FreeDrain</v>
      </c>
      <c r="I266" s="174">
        <v>9.1615896142278649E-2</v>
      </c>
      <c r="J266" s="174">
        <v>10.848426668784576</v>
      </c>
      <c r="K266" s="33" t="str">
        <f t="shared" si="23"/>
        <v>Lowland|700to900</v>
      </c>
      <c r="L266" s="175"/>
      <c r="M266" s="176"/>
      <c r="N266" s="174"/>
      <c r="O266" s="177"/>
      <c r="P266" s="124"/>
    </row>
    <row r="267" spans="2:16" x14ac:dyDescent="0.2">
      <c r="B267" s="123"/>
      <c r="C267" s="179" t="s">
        <v>248</v>
      </c>
      <c r="D267" s="173" t="s">
        <v>242</v>
      </c>
      <c r="E267" s="173" t="b">
        <v>0</v>
      </c>
      <c r="F267" s="173" t="s">
        <v>232</v>
      </c>
      <c r="G267" s="173" t="s">
        <v>234</v>
      </c>
      <c r="H267" s="41" t="str">
        <f t="shared" si="22"/>
        <v>New Forest - Lymington and Beaulieu|Lowland|FALSE|700to900|DrainedAr</v>
      </c>
      <c r="I267" s="174">
        <v>0.12208138499421395</v>
      </c>
      <c r="J267" s="174">
        <v>8.5174892704627823</v>
      </c>
      <c r="K267" s="33" t="str">
        <f t="shared" si="23"/>
        <v>Lowland|700to900</v>
      </c>
      <c r="L267" s="175"/>
      <c r="M267" s="176"/>
      <c r="N267" s="174"/>
      <c r="O267" s="177"/>
      <c r="P267" s="124"/>
    </row>
    <row r="268" spans="2:16" x14ac:dyDescent="0.2">
      <c r="B268" s="123"/>
      <c r="C268" s="179" t="s">
        <v>248</v>
      </c>
      <c r="D268" s="173" t="s">
        <v>242</v>
      </c>
      <c r="E268" s="173" t="b">
        <v>1</v>
      </c>
      <c r="F268" s="173" t="s">
        <v>232</v>
      </c>
      <c r="G268" s="173" t="s">
        <v>234</v>
      </c>
      <c r="H268" s="41" t="str">
        <f t="shared" si="22"/>
        <v>New Forest - Lymington and Beaulieu|Lowland|TRUE|700to900|DrainedAr</v>
      </c>
      <c r="I268" s="174">
        <v>0.12208110191568655</v>
      </c>
      <c r="J268" s="174">
        <v>8.4625745527012892</v>
      </c>
      <c r="K268" s="33" t="str">
        <f t="shared" si="23"/>
        <v>Lowland|700to900</v>
      </c>
      <c r="L268" s="175"/>
      <c r="M268" s="176"/>
      <c r="N268" s="174"/>
      <c r="O268" s="177"/>
      <c r="P268" s="124"/>
    </row>
    <row r="269" spans="2:16" x14ac:dyDescent="0.2">
      <c r="B269" s="123"/>
      <c r="C269" s="179" t="s">
        <v>248</v>
      </c>
      <c r="D269" s="173" t="s">
        <v>242</v>
      </c>
      <c r="E269" s="173" t="b">
        <v>0</v>
      </c>
      <c r="F269" s="173" t="s">
        <v>232</v>
      </c>
      <c r="G269" s="173" t="s">
        <v>235</v>
      </c>
      <c r="H269" s="41" t="str">
        <f t="shared" si="22"/>
        <v>New Forest - Lymington and Beaulieu|Lowland|FALSE|700to900|DrainedArGr</v>
      </c>
      <c r="I269" s="174">
        <v>0.55238244334832953</v>
      </c>
      <c r="J269" s="174">
        <v>5.5315465571356315</v>
      </c>
      <c r="K269" s="33" t="str">
        <f t="shared" si="23"/>
        <v>Lowland|700to900</v>
      </c>
      <c r="L269" s="175"/>
      <c r="M269" s="176"/>
      <c r="N269" s="174"/>
      <c r="O269" s="177"/>
      <c r="P269" s="124"/>
    </row>
    <row r="270" spans="2:16" x14ac:dyDescent="0.2">
      <c r="B270" s="123"/>
      <c r="C270" s="179" t="s">
        <v>248</v>
      </c>
      <c r="D270" s="173" t="s">
        <v>242</v>
      </c>
      <c r="E270" s="173" t="b">
        <v>1</v>
      </c>
      <c r="F270" s="173" t="s">
        <v>232</v>
      </c>
      <c r="G270" s="173" t="s">
        <v>235</v>
      </c>
      <c r="H270" s="41" t="str">
        <f t="shared" si="22"/>
        <v>New Forest - Lymington and Beaulieu|Lowland|TRUE|700to900|DrainedArGr</v>
      </c>
      <c r="I270" s="174">
        <v>0.55235386550764387</v>
      </c>
      <c r="J270" s="174">
        <v>5.5174745003007537</v>
      </c>
      <c r="K270" s="33" t="str">
        <f t="shared" si="23"/>
        <v>Lowland|700to900</v>
      </c>
      <c r="L270" s="175"/>
      <c r="M270" s="176"/>
      <c r="N270" s="174"/>
      <c r="O270" s="177"/>
      <c r="P270" s="124"/>
    </row>
    <row r="271" spans="2:16" x14ac:dyDescent="0.2">
      <c r="B271" s="123"/>
      <c r="C271" s="179" t="s">
        <v>248</v>
      </c>
      <c r="D271" s="173" t="s">
        <v>243</v>
      </c>
      <c r="E271" s="173" t="b">
        <v>1</v>
      </c>
      <c r="F271" s="173" t="s">
        <v>232</v>
      </c>
      <c r="G271" s="173" t="s">
        <v>233</v>
      </c>
      <c r="H271" s="41" t="str">
        <f t="shared" si="22"/>
        <v>New Forest - Lymington and Beaulieu|Mixed|TRUE|700to900|FreeDrain</v>
      </c>
      <c r="I271" s="174">
        <v>0.12152217128554471</v>
      </c>
      <c r="J271" s="174">
        <v>21.023810348495982</v>
      </c>
      <c r="K271" s="33" t="str">
        <f t="shared" si="23"/>
        <v>Mixed|700to900</v>
      </c>
      <c r="L271" s="175">
        <f>AVERAGE(I271,I272,I274)</f>
        <v>0.42404598802770832</v>
      </c>
      <c r="M271" s="176">
        <f>AVERAGE(J271,J272,J274)</f>
        <v>16.482562366713591</v>
      </c>
      <c r="N271" s="174">
        <f>AVERAGE(I271:I275)</f>
        <v>0.48345887942676169</v>
      </c>
      <c r="O271" s="177">
        <f>AVERAGE(J271:J275)</f>
        <v>15.494373037443077</v>
      </c>
      <c r="P271" s="124"/>
    </row>
    <row r="272" spans="2:16" x14ac:dyDescent="0.2">
      <c r="B272" s="123"/>
      <c r="C272" s="179" t="s">
        <v>248</v>
      </c>
      <c r="D272" s="173" t="s">
        <v>243</v>
      </c>
      <c r="E272" s="173" t="b">
        <v>0</v>
      </c>
      <c r="F272" s="173" t="s">
        <v>232</v>
      </c>
      <c r="G272" s="173" t="s">
        <v>234</v>
      </c>
      <c r="H272" s="41" t="str">
        <f t="shared" si="22"/>
        <v>New Forest - Lymington and Beaulieu|Mixed|FALSE|700to900|DrainedAr</v>
      </c>
      <c r="I272" s="174">
        <v>0.34788395464869254</v>
      </c>
      <c r="J272" s="174">
        <v>16.147719081498167</v>
      </c>
      <c r="K272" s="33" t="str">
        <f t="shared" si="23"/>
        <v>Mixed|700to900</v>
      </c>
      <c r="L272" s="175"/>
      <c r="M272" s="176"/>
      <c r="N272" s="174"/>
      <c r="O272" s="177"/>
      <c r="P272" s="124"/>
    </row>
    <row r="273" spans="2:16" x14ac:dyDescent="0.2">
      <c r="B273" s="123"/>
      <c r="C273" s="179" t="s">
        <v>248</v>
      </c>
      <c r="D273" s="173" t="s">
        <v>243</v>
      </c>
      <c r="E273" s="173" t="b">
        <v>1</v>
      </c>
      <c r="F273" s="173" t="s">
        <v>232</v>
      </c>
      <c r="G273" s="173" t="s">
        <v>234</v>
      </c>
      <c r="H273" s="41" t="str">
        <f t="shared" si="22"/>
        <v>New Forest - Lymington and Beaulieu|Mixed|TRUE|700to900|DrainedAr</v>
      </c>
      <c r="I273" s="174">
        <v>0.34613663970288217</v>
      </c>
      <c r="J273" s="174">
        <v>15.950831996013878</v>
      </c>
      <c r="K273" s="33" t="str">
        <f t="shared" si="23"/>
        <v>Mixed|700to900</v>
      </c>
      <c r="L273" s="175"/>
      <c r="M273" s="176"/>
      <c r="N273" s="174"/>
      <c r="O273" s="177"/>
      <c r="P273" s="124"/>
    </row>
    <row r="274" spans="2:16" x14ac:dyDescent="0.2">
      <c r="B274" s="123"/>
      <c r="C274" s="179" t="s">
        <v>248</v>
      </c>
      <c r="D274" s="173" t="s">
        <v>243</v>
      </c>
      <c r="E274" s="173" t="b">
        <v>0</v>
      </c>
      <c r="F274" s="173" t="s">
        <v>232</v>
      </c>
      <c r="G274" s="173" t="s">
        <v>235</v>
      </c>
      <c r="H274" s="41" t="str">
        <f t="shared" si="22"/>
        <v>New Forest - Lymington and Beaulieu|Mixed|FALSE|700to900|DrainedArGr</v>
      </c>
      <c r="I274" s="174">
        <v>0.80273183814888771</v>
      </c>
      <c r="J274" s="174">
        <v>12.27615767014662</v>
      </c>
      <c r="K274" s="33" t="str">
        <f t="shared" si="23"/>
        <v>Mixed|700to900</v>
      </c>
      <c r="L274" s="175"/>
      <c r="M274" s="176"/>
      <c r="N274" s="174"/>
      <c r="O274" s="177"/>
      <c r="P274" s="124"/>
    </row>
    <row r="275" spans="2:16" x14ac:dyDescent="0.2">
      <c r="B275" s="123"/>
      <c r="C275" s="179" t="s">
        <v>248</v>
      </c>
      <c r="D275" s="173" t="s">
        <v>243</v>
      </c>
      <c r="E275" s="173" t="b">
        <v>1</v>
      </c>
      <c r="F275" s="173" t="s">
        <v>232</v>
      </c>
      <c r="G275" s="173" t="s">
        <v>235</v>
      </c>
      <c r="H275" s="41" t="str">
        <f t="shared" si="22"/>
        <v>New Forest - Lymington and Beaulieu|Mixed|TRUE|700to900|DrainedArGr</v>
      </c>
      <c r="I275" s="174">
        <v>0.79901979334780138</v>
      </c>
      <c r="J275" s="174">
        <v>12.07334609106074</v>
      </c>
      <c r="K275" s="33" t="str">
        <f t="shared" si="23"/>
        <v>Mixed|700to900</v>
      </c>
      <c r="L275" s="175"/>
      <c r="M275" s="176"/>
      <c r="N275" s="174"/>
      <c r="O275" s="177"/>
      <c r="P275" s="124"/>
    </row>
    <row r="276" spans="2:16" x14ac:dyDescent="0.2">
      <c r="B276" s="123"/>
      <c r="C276" s="173" t="s">
        <v>249</v>
      </c>
      <c r="D276" s="173" t="s">
        <v>117</v>
      </c>
      <c r="E276" s="173" t="b">
        <v>1</v>
      </c>
      <c r="F276" s="173" t="s">
        <v>232</v>
      </c>
      <c r="G276" s="173" t="s">
        <v>233</v>
      </c>
      <c r="H276" s="41" t="str">
        <f t="shared" si="22"/>
        <v>Upper and Middle Test|Cereals|TRUE|700to900|FreeDrain</v>
      </c>
      <c r="I276" s="174">
        <v>8.515036237595916E-2</v>
      </c>
      <c r="J276" s="174">
        <v>27.9310525965337</v>
      </c>
      <c r="K276" s="33" t="str">
        <f t="shared" si="23"/>
        <v>Cereals|700to900</v>
      </c>
      <c r="L276" s="175">
        <f>AVERAGE(I276:I277)</f>
        <v>0.37882403584186786</v>
      </c>
      <c r="M276" s="176">
        <f>AVERAGE(J276:J277)</f>
        <v>24.704633620997356</v>
      </c>
      <c r="N276" s="174">
        <f>AVERAGE(I276:I278)</f>
        <v>0.30103028713415941</v>
      </c>
      <c r="O276" s="177">
        <f>AVERAGE(J276:J278)</f>
        <v>26.381195417100017</v>
      </c>
      <c r="P276" s="124"/>
    </row>
    <row r="277" spans="2:16" x14ac:dyDescent="0.2">
      <c r="B277" s="123"/>
      <c r="C277" s="173" t="s">
        <v>249</v>
      </c>
      <c r="D277" s="173" t="s">
        <v>117</v>
      </c>
      <c r="E277" s="173" t="b">
        <v>1</v>
      </c>
      <c r="F277" s="173" t="s">
        <v>232</v>
      </c>
      <c r="G277" s="173" t="s">
        <v>234</v>
      </c>
      <c r="H277" s="41" t="str">
        <f t="shared" si="22"/>
        <v>Upper and Middle Test|Cereals|TRUE|700to900|DrainedAr</v>
      </c>
      <c r="I277" s="174">
        <v>0.67249770930777653</v>
      </c>
      <c r="J277" s="174">
        <v>21.478214645461012</v>
      </c>
      <c r="K277" s="33" t="str">
        <f t="shared" si="23"/>
        <v>Cereals|700to900</v>
      </c>
      <c r="L277" s="175"/>
      <c r="M277" s="176"/>
      <c r="N277" s="174"/>
      <c r="O277" s="177"/>
      <c r="P277" s="124"/>
    </row>
    <row r="278" spans="2:16" x14ac:dyDescent="0.2">
      <c r="B278" s="123"/>
      <c r="C278" s="173" t="s">
        <v>249</v>
      </c>
      <c r="D278" s="173" t="s">
        <v>117</v>
      </c>
      <c r="E278" s="173" t="b">
        <v>1</v>
      </c>
      <c r="F278" s="173" t="s">
        <v>236</v>
      </c>
      <c r="G278" s="173" t="s">
        <v>233</v>
      </c>
      <c r="H278" s="41" t="str">
        <f t="shared" si="22"/>
        <v>Upper and Middle Test|Cereals|TRUE|900to1200|FreeDrain</v>
      </c>
      <c r="I278" s="174">
        <v>0.14544278971874244</v>
      </c>
      <c r="J278" s="174">
        <v>29.734319009305342</v>
      </c>
      <c r="K278" s="33" t="str">
        <f t="shared" si="23"/>
        <v>Cereals|900to1200</v>
      </c>
      <c r="L278" s="175">
        <f>AVERAGE(I278)</f>
        <v>0.14544278971874244</v>
      </c>
      <c r="M278" s="176">
        <f>AVERAGE(J278)</f>
        <v>29.734319009305342</v>
      </c>
      <c r="N278" s="174"/>
      <c r="O278" s="177"/>
      <c r="P278" s="124"/>
    </row>
    <row r="279" spans="2:16" x14ac:dyDescent="0.2">
      <c r="B279" s="123"/>
      <c r="C279" s="173" t="s">
        <v>249</v>
      </c>
      <c r="D279" s="173" t="s">
        <v>237</v>
      </c>
      <c r="E279" s="173" t="b">
        <v>1</v>
      </c>
      <c r="F279" s="173" t="s">
        <v>232</v>
      </c>
      <c r="G279" s="173" t="s">
        <v>233</v>
      </c>
      <c r="H279" s="41" t="str">
        <f t="shared" si="22"/>
        <v>Upper and Middle Test|General|TRUE|700to900|FreeDrain</v>
      </c>
      <c r="I279" s="174">
        <v>6.6386467738582533E-2</v>
      </c>
      <c r="J279" s="174">
        <v>19.644515737822644</v>
      </c>
      <c r="K279" s="33" t="str">
        <f t="shared" si="23"/>
        <v>General|700to900</v>
      </c>
      <c r="L279" s="175">
        <f>AVERAGE(I279:I280)</f>
        <v>0.25930654096501171</v>
      </c>
      <c r="M279" s="176">
        <f>AVERAGE(J279:J280)</f>
        <v>17.217540162588442</v>
      </c>
      <c r="N279" s="174">
        <f>AVERAGE(I279:I281)</f>
        <v>0.21136302195481893</v>
      </c>
      <c r="O279" s="177">
        <f>AVERAGE(J279:J281)</f>
        <v>18.513210008198111</v>
      </c>
      <c r="P279" s="124"/>
    </row>
    <row r="280" spans="2:16" x14ac:dyDescent="0.2">
      <c r="B280" s="123"/>
      <c r="C280" s="173" t="s">
        <v>249</v>
      </c>
      <c r="D280" s="173" t="s">
        <v>237</v>
      </c>
      <c r="E280" s="173" t="b">
        <v>1</v>
      </c>
      <c r="F280" s="173" t="s">
        <v>232</v>
      </c>
      <c r="G280" s="173" t="s">
        <v>234</v>
      </c>
      <c r="H280" s="41" t="str">
        <f t="shared" si="22"/>
        <v>Upper and Middle Test|General|TRUE|700to900|DrainedAr</v>
      </c>
      <c r="I280" s="174">
        <v>0.45222661419144095</v>
      </c>
      <c r="J280" s="174">
        <v>14.790564587354238</v>
      </c>
      <c r="K280" s="33" t="str">
        <f t="shared" si="23"/>
        <v>General|700to900</v>
      </c>
      <c r="L280" s="175"/>
      <c r="M280" s="176"/>
      <c r="N280" s="174"/>
      <c r="O280" s="177"/>
      <c r="P280" s="124"/>
    </row>
    <row r="281" spans="2:16" x14ac:dyDescent="0.2">
      <c r="B281" s="123"/>
      <c r="C281" s="173" t="s">
        <v>249</v>
      </c>
      <c r="D281" s="173" t="s">
        <v>237</v>
      </c>
      <c r="E281" s="173" t="b">
        <v>1</v>
      </c>
      <c r="F281" s="173" t="s">
        <v>236</v>
      </c>
      <c r="G281" s="173" t="s">
        <v>233</v>
      </c>
      <c r="H281" s="41" t="str">
        <f t="shared" si="22"/>
        <v>Upper and Middle Test|General|TRUE|900to1200|FreeDrain</v>
      </c>
      <c r="I281" s="174">
        <v>0.11547598393443338</v>
      </c>
      <c r="J281" s="174">
        <v>21.104549699417454</v>
      </c>
      <c r="K281" s="33" t="str">
        <f t="shared" si="23"/>
        <v>General|900to1200</v>
      </c>
      <c r="L281" s="175">
        <f t="shared" ref="L281:M286" si="24">AVERAGE(I281)</f>
        <v>0.11547598393443338</v>
      </c>
      <c r="M281" s="176">
        <f t="shared" si="24"/>
        <v>21.104549699417454</v>
      </c>
      <c r="N281" s="174"/>
      <c r="O281" s="177"/>
      <c r="P281" s="124"/>
    </row>
    <row r="282" spans="2:16" x14ac:dyDescent="0.2">
      <c r="B282" s="123"/>
      <c r="C282" s="173" t="s">
        <v>249</v>
      </c>
      <c r="D282" s="173" t="s">
        <v>238</v>
      </c>
      <c r="E282" s="173" t="b">
        <v>1</v>
      </c>
      <c r="F282" s="173" t="s">
        <v>232</v>
      </c>
      <c r="G282" s="173" t="s">
        <v>233</v>
      </c>
      <c r="H282" s="41" t="str">
        <f t="shared" si="22"/>
        <v>Upper and Middle Test|Horticulture|TRUE|700to900|FreeDrain</v>
      </c>
      <c r="I282" s="174">
        <v>7.289184743826875E-2</v>
      </c>
      <c r="J282" s="174">
        <v>21.020011014771747</v>
      </c>
      <c r="K282" s="33" t="str">
        <f t="shared" si="23"/>
        <v>Horticulture|700to900</v>
      </c>
      <c r="L282" s="175">
        <f t="shared" si="24"/>
        <v>7.289184743826875E-2</v>
      </c>
      <c r="M282" s="176">
        <f t="shared" si="24"/>
        <v>21.020011014771747</v>
      </c>
      <c r="N282" s="174">
        <f>AVERAGE(I282:I283)</f>
        <v>0.10021529996894191</v>
      </c>
      <c r="O282" s="177">
        <f>AVERAGE(J282:J283)</f>
        <v>21.831518371590803</v>
      </c>
      <c r="P282" s="124"/>
    </row>
    <row r="283" spans="2:16" x14ac:dyDescent="0.2">
      <c r="B283" s="123"/>
      <c r="C283" s="173" t="s">
        <v>249</v>
      </c>
      <c r="D283" s="173" t="s">
        <v>238</v>
      </c>
      <c r="E283" s="173" t="b">
        <v>1</v>
      </c>
      <c r="F283" s="173" t="s">
        <v>236</v>
      </c>
      <c r="G283" s="173" t="s">
        <v>233</v>
      </c>
      <c r="H283" s="41" t="str">
        <f t="shared" si="22"/>
        <v>Upper and Middle Test|Horticulture|TRUE|900to1200|FreeDrain</v>
      </c>
      <c r="I283" s="174">
        <v>0.12753875249961508</v>
      </c>
      <c r="J283" s="174">
        <v>22.643025728409864</v>
      </c>
      <c r="K283" s="33" t="str">
        <f t="shared" si="23"/>
        <v>Horticulture|900to1200</v>
      </c>
      <c r="L283" s="175">
        <f t="shared" si="24"/>
        <v>0.12753875249961508</v>
      </c>
      <c r="M283" s="176">
        <f t="shared" si="24"/>
        <v>22.643025728409864</v>
      </c>
      <c r="N283" s="174"/>
      <c r="O283" s="177"/>
      <c r="P283" s="124"/>
    </row>
    <row r="284" spans="2:16" x14ac:dyDescent="0.2">
      <c r="B284" s="123"/>
      <c r="C284" s="173" t="s">
        <v>249</v>
      </c>
      <c r="D284" s="173" t="s">
        <v>239</v>
      </c>
      <c r="E284" s="173" t="b">
        <v>1</v>
      </c>
      <c r="F284" s="173" t="s">
        <v>232</v>
      </c>
      <c r="G284" s="173" t="s">
        <v>233</v>
      </c>
      <c r="H284" s="41" t="str">
        <f t="shared" si="22"/>
        <v>Upper and Middle Test|Pig|TRUE|700to900|FreeDrain</v>
      </c>
      <c r="I284" s="174">
        <v>8.2651136796556543E-2</v>
      </c>
      <c r="J284" s="174">
        <v>63.936999324171772</v>
      </c>
      <c r="K284" s="33" t="str">
        <f t="shared" si="23"/>
        <v>Pig|700to900</v>
      </c>
      <c r="L284" s="175">
        <f t="shared" si="24"/>
        <v>8.2651136796556543E-2</v>
      </c>
      <c r="M284" s="176">
        <f t="shared" si="24"/>
        <v>63.936999324171772</v>
      </c>
      <c r="N284" s="174">
        <f>AVERAGE(I284)</f>
        <v>8.2651136796556543E-2</v>
      </c>
      <c r="O284" s="177">
        <f>AVERAGE(J284)</f>
        <v>63.936999324171772</v>
      </c>
      <c r="P284" s="124"/>
    </row>
    <row r="285" spans="2:16" x14ac:dyDescent="0.2">
      <c r="B285" s="123"/>
      <c r="C285" s="173" t="s">
        <v>249</v>
      </c>
      <c r="D285" s="173" t="s">
        <v>240</v>
      </c>
      <c r="E285" s="173" t="b">
        <v>1</v>
      </c>
      <c r="F285" s="173" t="s">
        <v>232</v>
      </c>
      <c r="G285" s="173" t="s">
        <v>233</v>
      </c>
      <c r="H285" s="41" t="str">
        <f t="shared" si="22"/>
        <v>Upper and Middle Test|Poultry|TRUE|700to900|FreeDrain</v>
      </c>
      <c r="I285" s="174">
        <v>6.9918119580885993E-2</v>
      </c>
      <c r="J285" s="174">
        <v>68.605024323971008</v>
      </c>
      <c r="K285" s="33" t="str">
        <f t="shared" si="23"/>
        <v>Poultry|700to900</v>
      </c>
      <c r="L285" s="175">
        <f t="shared" si="24"/>
        <v>6.9918119580885993E-2</v>
      </c>
      <c r="M285" s="176">
        <f t="shared" si="24"/>
        <v>68.605024323971008</v>
      </c>
      <c r="N285" s="174">
        <f t="shared" ref="N285:O286" si="25">AVERAGE(I285)</f>
        <v>6.9918119580885993E-2</v>
      </c>
      <c r="O285" s="177">
        <f t="shared" si="25"/>
        <v>68.605024323971008</v>
      </c>
      <c r="P285" s="124"/>
    </row>
    <row r="286" spans="2:16" x14ac:dyDescent="0.2">
      <c r="B286" s="123"/>
      <c r="C286" s="173" t="s">
        <v>249</v>
      </c>
      <c r="D286" s="173" t="s">
        <v>241</v>
      </c>
      <c r="E286" s="173" t="b">
        <v>1</v>
      </c>
      <c r="F286" s="173" t="s">
        <v>232</v>
      </c>
      <c r="G286" s="173" t="s">
        <v>233</v>
      </c>
      <c r="H286" s="41" t="str">
        <f t="shared" ref="H286:H349" si="26">C286&amp;"|"&amp;D286&amp;"|"&amp;E286&amp;"|"&amp;F286&amp;"|"&amp;G286</f>
        <v>Upper and Middle Test|Dairy|TRUE|700to900|FreeDrain</v>
      </c>
      <c r="I286" s="174">
        <v>8.4308163851246315E-2</v>
      </c>
      <c r="J286" s="174">
        <v>41.234624559477133</v>
      </c>
      <c r="K286" s="33" t="str">
        <f t="shared" ref="K286:K349" si="27">D286&amp;"|"&amp;F286&amp;""</f>
        <v>Dairy|700to900</v>
      </c>
      <c r="L286" s="175">
        <f t="shared" si="24"/>
        <v>8.4308163851246315E-2</v>
      </c>
      <c r="M286" s="176">
        <f t="shared" si="24"/>
        <v>41.234624559477133</v>
      </c>
      <c r="N286" s="174">
        <f t="shared" si="25"/>
        <v>8.4308163851246315E-2</v>
      </c>
      <c r="O286" s="177">
        <f t="shared" si="25"/>
        <v>41.234624559477133</v>
      </c>
      <c r="P286" s="124"/>
    </row>
    <row r="287" spans="2:16" x14ac:dyDescent="0.2">
      <c r="B287" s="123"/>
      <c r="C287" s="173" t="s">
        <v>249</v>
      </c>
      <c r="D287" s="173" t="s">
        <v>242</v>
      </c>
      <c r="E287" s="173" t="b">
        <v>1</v>
      </c>
      <c r="F287" s="173" t="s">
        <v>232</v>
      </c>
      <c r="G287" s="173" t="s">
        <v>233</v>
      </c>
      <c r="H287" s="41" t="str">
        <f t="shared" si="26"/>
        <v>Upper and Middle Test|Lowland|TRUE|700to900|FreeDrain</v>
      </c>
      <c r="I287" s="174">
        <v>5.049109156942181E-2</v>
      </c>
      <c r="J287" s="174">
        <v>11.740645874552104</v>
      </c>
      <c r="K287" s="33" t="str">
        <f t="shared" si="27"/>
        <v>Lowland|700to900</v>
      </c>
      <c r="L287" s="175">
        <f>AVERAGE(I287:I288)</f>
        <v>9.8554608837314969E-2</v>
      </c>
      <c r="M287" s="176">
        <f>AVERAGE(J287:J288)</f>
        <v>10.417133708636628</v>
      </c>
      <c r="N287" s="174">
        <f>AVERAGE(I287:I289)</f>
        <v>9.4185672585482716E-2</v>
      </c>
      <c r="O287" s="177">
        <f>AVERAGE(J287:J289)</f>
        <v>11.161609723938234</v>
      </c>
      <c r="P287" s="124"/>
    </row>
    <row r="288" spans="2:16" x14ac:dyDescent="0.2">
      <c r="B288" s="123"/>
      <c r="C288" s="173" t="s">
        <v>249</v>
      </c>
      <c r="D288" s="173" t="s">
        <v>242</v>
      </c>
      <c r="E288" s="173" t="b">
        <v>1</v>
      </c>
      <c r="F288" s="173" t="s">
        <v>232</v>
      </c>
      <c r="G288" s="173" t="s">
        <v>234</v>
      </c>
      <c r="H288" s="41" t="str">
        <f t="shared" si="26"/>
        <v>Upper and Middle Test|Lowland|TRUE|700to900|DrainedAr</v>
      </c>
      <c r="I288" s="174">
        <v>0.14661812610520814</v>
      </c>
      <c r="J288" s="174">
        <v>9.0936215427211522</v>
      </c>
      <c r="K288" s="33" t="str">
        <f t="shared" si="27"/>
        <v>Lowland|700to900</v>
      </c>
      <c r="L288" s="175"/>
      <c r="M288" s="176"/>
      <c r="N288" s="174"/>
      <c r="O288" s="177"/>
      <c r="P288" s="124"/>
    </row>
    <row r="289" spans="2:16" x14ac:dyDescent="0.2">
      <c r="B289" s="123"/>
      <c r="C289" s="173" t="s">
        <v>249</v>
      </c>
      <c r="D289" s="173" t="s">
        <v>242</v>
      </c>
      <c r="E289" s="173" t="b">
        <v>1</v>
      </c>
      <c r="F289" s="173" t="s">
        <v>236</v>
      </c>
      <c r="G289" s="173" t="s">
        <v>233</v>
      </c>
      <c r="H289" s="41" t="str">
        <f t="shared" si="26"/>
        <v>Upper and Middle Test|Lowland|TRUE|900to1200|FreeDrain</v>
      </c>
      <c r="I289" s="174">
        <v>8.5447800081818195E-2</v>
      </c>
      <c r="J289" s="174">
        <v>12.650561754541448</v>
      </c>
      <c r="K289" s="33" t="str">
        <f t="shared" si="27"/>
        <v>Lowland|900to1200</v>
      </c>
      <c r="L289" s="175">
        <f t="shared" ref="L289:M291" si="28">AVERAGE(I289)</f>
        <v>8.5447800081818195E-2</v>
      </c>
      <c r="M289" s="176">
        <f t="shared" si="28"/>
        <v>12.650561754541448</v>
      </c>
      <c r="N289" s="174"/>
      <c r="O289" s="177"/>
      <c r="P289" s="124"/>
    </row>
    <row r="290" spans="2:16" x14ac:dyDescent="0.2">
      <c r="B290" s="123"/>
      <c r="C290" s="173" t="s">
        <v>249</v>
      </c>
      <c r="D290" s="173" t="s">
        <v>243</v>
      </c>
      <c r="E290" s="173" t="b">
        <v>1</v>
      </c>
      <c r="F290" s="173" t="s">
        <v>232</v>
      </c>
      <c r="G290" s="173" t="s">
        <v>233</v>
      </c>
      <c r="H290" s="41" t="str">
        <f t="shared" si="26"/>
        <v>Upper and Middle Test|Mixed|TRUE|700to900|FreeDrain</v>
      </c>
      <c r="I290" s="174">
        <v>7.7392701505460612E-2</v>
      </c>
      <c r="J290" s="174">
        <v>24.268694635980943</v>
      </c>
      <c r="K290" s="33" t="str">
        <f t="shared" si="27"/>
        <v>Mixed|700to900</v>
      </c>
      <c r="L290" s="175">
        <f t="shared" si="28"/>
        <v>7.7392701505460612E-2</v>
      </c>
      <c r="M290" s="176">
        <f t="shared" si="28"/>
        <v>24.268694635980943</v>
      </c>
      <c r="N290" s="174">
        <f>AVERAGE(I290:I291)</f>
        <v>0.10501091177665081</v>
      </c>
      <c r="O290" s="177">
        <f>AVERAGE(J290:J291)</f>
        <v>25.056089213799261</v>
      </c>
      <c r="P290" s="124"/>
    </row>
    <row r="291" spans="2:16" x14ac:dyDescent="0.2">
      <c r="B291" s="123"/>
      <c r="C291" s="173" t="s">
        <v>249</v>
      </c>
      <c r="D291" s="173" t="s">
        <v>243</v>
      </c>
      <c r="E291" s="173" t="b">
        <v>1</v>
      </c>
      <c r="F291" s="173" t="s">
        <v>236</v>
      </c>
      <c r="G291" s="173" t="s">
        <v>233</v>
      </c>
      <c r="H291" s="41" t="str">
        <f t="shared" si="26"/>
        <v>Upper and Middle Test|Mixed|TRUE|900to1200|FreeDrain</v>
      </c>
      <c r="I291" s="174">
        <v>0.132629122047841</v>
      </c>
      <c r="J291" s="174">
        <v>25.843483791617576</v>
      </c>
      <c r="K291" s="33" t="str">
        <f t="shared" si="27"/>
        <v>Mixed|900to1200</v>
      </c>
      <c r="L291" s="175">
        <f t="shared" si="28"/>
        <v>0.132629122047841</v>
      </c>
      <c r="M291" s="176">
        <f t="shared" si="28"/>
        <v>25.843483791617576</v>
      </c>
      <c r="N291" s="174"/>
      <c r="O291" s="177"/>
      <c r="P291" s="124"/>
    </row>
    <row r="292" spans="2:16" x14ac:dyDescent="0.2">
      <c r="B292" s="123"/>
      <c r="C292" s="173" t="s">
        <v>250</v>
      </c>
      <c r="D292" s="173" t="s">
        <v>117</v>
      </c>
      <c r="E292" s="173" t="b">
        <v>1</v>
      </c>
      <c r="F292" s="173" t="s">
        <v>232</v>
      </c>
      <c r="G292" s="173" t="s">
        <v>233</v>
      </c>
      <c r="H292" s="41" t="str">
        <f t="shared" si="26"/>
        <v>Itchen|Cereals|TRUE|700to900|FreeDrain</v>
      </c>
      <c r="I292" s="174">
        <v>0.1</v>
      </c>
      <c r="J292" s="174">
        <v>28.76</v>
      </c>
      <c r="K292" s="33" t="str">
        <f t="shared" si="27"/>
        <v>Cereals|700to900</v>
      </c>
      <c r="L292" s="175">
        <f>AVERAGE(I292,I293:I294)</f>
        <v>0.58333333333333337</v>
      </c>
      <c r="M292" s="176">
        <f>AVERAGE(J292,J293:J294)</f>
        <v>23.810000000000002</v>
      </c>
      <c r="N292" s="174">
        <f>AVERAGE(I292:I295)</f>
        <v>0.48249999999999998</v>
      </c>
      <c r="O292" s="177">
        <f>AVERAGE(J292:J295)</f>
        <v>25.5</v>
      </c>
      <c r="P292" s="124"/>
    </row>
    <row r="293" spans="2:16" x14ac:dyDescent="0.2">
      <c r="B293" s="123"/>
      <c r="C293" s="173" t="s">
        <v>250</v>
      </c>
      <c r="D293" s="173" t="s">
        <v>117</v>
      </c>
      <c r="E293" s="173" t="b">
        <v>1</v>
      </c>
      <c r="F293" s="173" t="s">
        <v>232</v>
      </c>
      <c r="G293" s="173" t="s">
        <v>234</v>
      </c>
      <c r="H293" s="41" t="str">
        <f t="shared" si="26"/>
        <v>Itchen|Cereals|TRUE|700to900|DrainedAr</v>
      </c>
      <c r="I293" s="174">
        <v>0.7</v>
      </c>
      <c r="J293" s="174">
        <v>22.06</v>
      </c>
      <c r="K293" s="33" t="str">
        <f t="shared" si="27"/>
        <v>Cereals|700to900</v>
      </c>
      <c r="L293" s="175"/>
      <c r="M293" s="176"/>
      <c r="N293" s="174"/>
      <c r="O293" s="177"/>
      <c r="P293" s="124"/>
    </row>
    <row r="294" spans="2:16" x14ac:dyDescent="0.2">
      <c r="B294" s="123"/>
      <c r="C294" s="173" t="s">
        <v>250</v>
      </c>
      <c r="D294" s="173" t="s">
        <v>117</v>
      </c>
      <c r="E294" s="173" t="b">
        <v>1</v>
      </c>
      <c r="F294" s="173" t="s">
        <v>232</v>
      </c>
      <c r="G294" s="173" t="s">
        <v>235</v>
      </c>
      <c r="H294" s="41" t="str">
        <f t="shared" si="26"/>
        <v>Itchen|Cereals|TRUE|700to900|DrainedArGr</v>
      </c>
      <c r="I294" s="174">
        <v>0.95</v>
      </c>
      <c r="J294" s="174">
        <v>20.61</v>
      </c>
      <c r="K294" s="33" t="str">
        <f t="shared" si="27"/>
        <v>Cereals|700to900</v>
      </c>
      <c r="L294" s="175"/>
      <c r="M294" s="176"/>
      <c r="N294" s="174"/>
      <c r="O294" s="177"/>
      <c r="P294" s="124"/>
    </row>
    <row r="295" spans="2:16" x14ac:dyDescent="0.2">
      <c r="B295" s="123"/>
      <c r="C295" s="173" t="s">
        <v>250</v>
      </c>
      <c r="D295" s="173" t="s">
        <v>117</v>
      </c>
      <c r="E295" s="173" t="b">
        <v>1</v>
      </c>
      <c r="F295" s="173" t="s">
        <v>236</v>
      </c>
      <c r="G295" s="173" t="s">
        <v>233</v>
      </c>
      <c r="H295" s="41" t="str">
        <f t="shared" si="26"/>
        <v>Itchen|Cereals|TRUE|900to1200|FreeDrain</v>
      </c>
      <c r="I295" s="174">
        <v>0.18</v>
      </c>
      <c r="J295" s="174">
        <v>30.57</v>
      </c>
      <c r="K295" s="33" t="str">
        <f t="shared" si="27"/>
        <v>Cereals|900to1200</v>
      </c>
      <c r="L295" s="175">
        <f>AVERAGE(I295)</f>
        <v>0.18</v>
      </c>
      <c r="M295" s="176">
        <f>AVERAGE(J295)</f>
        <v>30.57</v>
      </c>
      <c r="N295" s="174"/>
      <c r="O295" s="177"/>
      <c r="P295" s="124"/>
    </row>
    <row r="296" spans="2:16" x14ac:dyDescent="0.2">
      <c r="B296" s="123"/>
      <c r="C296" s="173" t="s">
        <v>250</v>
      </c>
      <c r="D296" s="173" t="s">
        <v>237</v>
      </c>
      <c r="E296" s="173" t="b">
        <v>1</v>
      </c>
      <c r="F296" s="173" t="s">
        <v>232</v>
      </c>
      <c r="G296" s="173" t="s">
        <v>233</v>
      </c>
      <c r="H296" s="41" t="str">
        <f t="shared" si="26"/>
        <v>Itchen|General|TRUE|700to900|FreeDrain</v>
      </c>
      <c r="I296" s="174">
        <v>0.08</v>
      </c>
      <c r="J296" s="174">
        <v>21.65</v>
      </c>
      <c r="K296" s="33" t="str">
        <f t="shared" si="27"/>
        <v>General|700to900</v>
      </c>
      <c r="L296" s="175">
        <f>AVERAGE(I296:I298)</f>
        <v>0.43333333333333329</v>
      </c>
      <c r="M296" s="176">
        <f>AVERAGE(J296:J298)</f>
        <v>17.546666666666663</v>
      </c>
      <c r="N296" s="174">
        <f>AVERAGE(I296:I299)</f>
        <v>0.36</v>
      </c>
      <c r="O296" s="177">
        <f>AVERAGE(J296:J299)</f>
        <v>18.954999999999998</v>
      </c>
      <c r="P296" s="124"/>
    </row>
    <row r="297" spans="2:16" x14ac:dyDescent="0.2">
      <c r="B297" s="123"/>
      <c r="C297" s="173" t="s">
        <v>250</v>
      </c>
      <c r="D297" s="173" t="s">
        <v>237</v>
      </c>
      <c r="E297" s="173" t="b">
        <v>1</v>
      </c>
      <c r="F297" s="173" t="s">
        <v>232</v>
      </c>
      <c r="G297" s="173" t="s">
        <v>234</v>
      </c>
      <c r="H297" s="41" t="str">
        <f t="shared" si="26"/>
        <v>Itchen|General|TRUE|700to900|DrainedAr</v>
      </c>
      <c r="I297" s="174">
        <v>0.49</v>
      </c>
      <c r="J297" s="174">
        <v>16.23</v>
      </c>
      <c r="K297" s="33" t="str">
        <f t="shared" si="27"/>
        <v>General|700to900</v>
      </c>
      <c r="L297" s="175"/>
      <c r="M297" s="176"/>
      <c r="N297" s="174"/>
      <c r="O297" s="177"/>
      <c r="P297" s="124"/>
    </row>
    <row r="298" spans="2:16" x14ac:dyDescent="0.2">
      <c r="B298" s="123"/>
      <c r="C298" s="173" t="s">
        <v>250</v>
      </c>
      <c r="D298" s="173" t="s">
        <v>237</v>
      </c>
      <c r="E298" s="173" t="b">
        <v>1</v>
      </c>
      <c r="F298" s="173" t="s">
        <v>232</v>
      </c>
      <c r="G298" s="173" t="s">
        <v>235</v>
      </c>
      <c r="H298" s="41" t="str">
        <f t="shared" si="26"/>
        <v>Itchen|General|TRUE|700to900|DrainedArGr</v>
      </c>
      <c r="I298" s="174">
        <v>0.73</v>
      </c>
      <c r="J298" s="174">
        <v>14.76</v>
      </c>
      <c r="K298" s="33" t="str">
        <f t="shared" si="27"/>
        <v>General|700to900</v>
      </c>
      <c r="L298" s="175"/>
      <c r="M298" s="176"/>
      <c r="N298" s="174"/>
      <c r="O298" s="177"/>
      <c r="P298" s="124"/>
    </row>
    <row r="299" spans="2:16" x14ac:dyDescent="0.2">
      <c r="B299" s="123"/>
      <c r="C299" s="173" t="s">
        <v>250</v>
      </c>
      <c r="D299" s="173" t="s">
        <v>237</v>
      </c>
      <c r="E299" s="173" t="b">
        <v>1</v>
      </c>
      <c r="F299" s="173" t="s">
        <v>236</v>
      </c>
      <c r="G299" s="173" t="s">
        <v>233</v>
      </c>
      <c r="H299" s="41" t="str">
        <f t="shared" si="26"/>
        <v>Itchen|General|TRUE|900to1200|FreeDrain</v>
      </c>
      <c r="I299" s="174">
        <v>0.14000000000000001</v>
      </c>
      <c r="J299" s="174">
        <v>23.18</v>
      </c>
      <c r="K299" s="33" t="str">
        <f t="shared" si="27"/>
        <v>General|900to1200</v>
      </c>
      <c r="L299" s="175">
        <f>AVERAGE(I299)</f>
        <v>0.14000000000000001</v>
      </c>
      <c r="M299" s="176">
        <f>AVERAGE(J299)</f>
        <v>23.18</v>
      </c>
      <c r="N299" s="174"/>
      <c r="O299" s="177"/>
      <c r="P299" s="124"/>
    </row>
    <row r="300" spans="2:16" x14ac:dyDescent="0.2">
      <c r="B300" s="123"/>
      <c r="C300" s="173" t="s">
        <v>250</v>
      </c>
      <c r="D300" s="173" t="s">
        <v>238</v>
      </c>
      <c r="E300" s="173" t="b">
        <v>1</v>
      </c>
      <c r="F300" s="173" t="s">
        <v>232</v>
      </c>
      <c r="G300" s="173" t="s">
        <v>233</v>
      </c>
      <c r="H300" s="41" t="str">
        <f t="shared" si="26"/>
        <v>Itchen|Horticulture|TRUE|700to900|FreeDrain</v>
      </c>
      <c r="I300" s="174">
        <v>0.09</v>
      </c>
      <c r="J300" s="174">
        <v>21.82</v>
      </c>
      <c r="K300" s="33" t="str">
        <f t="shared" si="27"/>
        <v>Horticulture|700to900</v>
      </c>
      <c r="L300" s="175">
        <f>AVERAGE(I300:I301)</f>
        <v>0.47</v>
      </c>
      <c r="M300" s="176">
        <f>AVERAGE(J300:J301)</f>
        <v>18.11</v>
      </c>
      <c r="N300" s="174">
        <f>AVERAGE(I300:I302)</f>
        <v>0.36666666666666664</v>
      </c>
      <c r="O300" s="177">
        <f>AVERAGE(J300:J302)</f>
        <v>19.88</v>
      </c>
      <c r="P300" s="124"/>
    </row>
    <row r="301" spans="2:16" x14ac:dyDescent="0.2">
      <c r="B301" s="123"/>
      <c r="C301" s="173" t="s">
        <v>250</v>
      </c>
      <c r="D301" s="173" t="s">
        <v>238</v>
      </c>
      <c r="E301" s="173" t="b">
        <v>1</v>
      </c>
      <c r="F301" s="173" t="s">
        <v>232</v>
      </c>
      <c r="G301" s="173" t="s">
        <v>235</v>
      </c>
      <c r="H301" s="41" t="str">
        <f t="shared" si="26"/>
        <v>Itchen|Horticulture|TRUE|700to900|DrainedArGr</v>
      </c>
      <c r="I301" s="174">
        <v>0.85</v>
      </c>
      <c r="J301" s="174">
        <v>14.4</v>
      </c>
      <c r="K301" s="33" t="str">
        <f t="shared" si="27"/>
        <v>Horticulture|700to900</v>
      </c>
      <c r="L301" s="175"/>
      <c r="M301" s="176"/>
      <c r="N301" s="174"/>
      <c r="O301" s="177"/>
      <c r="P301" s="124"/>
    </row>
    <row r="302" spans="2:16" x14ac:dyDescent="0.2">
      <c r="B302" s="123"/>
      <c r="C302" s="173" t="s">
        <v>250</v>
      </c>
      <c r="D302" s="173" t="s">
        <v>238</v>
      </c>
      <c r="E302" s="173" t="b">
        <v>1</v>
      </c>
      <c r="F302" s="173" t="s">
        <v>236</v>
      </c>
      <c r="G302" s="173" t="s">
        <v>233</v>
      </c>
      <c r="H302" s="41" t="str">
        <f t="shared" si="26"/>
        <v>Itchen|Horticulture|TRUE|900to1200|FreeDrain</v>
      </c>
      <c r="I302" s="174">
        <v>0.16</v>
      </c>
      <c r="J302" s="174">
        <v>23.42</v>
      </c>
      <c r="K302" s="33" t="str">
        <f t="shared" si="27"/>
        <v>Horticulture|900to1200</v>
      </c>
      <c r="L302" s="175">
        <f t="shared" ref="L302:M304" si="29">AVERAGE(I302)</f>
        <v>0.16</v>
      </c>
      <c r="M302" s="176">
        <f t="shared" si="29"/>
        <v>23.42</v>
      </c>
      <c r="N302" s="174"/>
      <c r="O302" s="177"/>
      <c r="P302" s="124"/>
    </row>
    <row r="303" spans="2:16" x14ac:dyDescent="0.2">
      <c r="B303" s="123"/>
      <c r="C303" s="173" t="s">
        <v>250</v>
      </c>
      <c r="D303" s="173" t="s">
        <v>240</v>
      </c>
      <c r="E303" s="173" t="b">
        <v>1</v>
      </c>
      <c r="F303" s="173" t="s">
        <v>232</v>
      </c>
      <c r="G303" s="173" t="s">
        <v>233</v>
      </c>
      <c r="H303" s="41" t="str">
        <f t="shared" si="26"/>
        <v>Itchen|Poultry|TRUE|700to900|FreeDrain</v>
      </c>
      <c r="I303" s="174">
        <v>0.09</v>
      </c>
      <c r="J303" s="174">
        <v>78.56</v>
      </c>
      <c r="K303" s="33" t="str">
        <f t="shared" si="27"/>
        <v>Poultry|700to900</v>
      </c>
      <c r="L303" s="175">
        <f t="shared" si="29"/>
        <v>0.09</v>
      </c>
      <c r="M303" s="176">
        <f t="shared" si="29"/>
        <v>78.56</v>
      </c>
      <c r="N303" s="174">
        <f>AVERAGE(I303:I305)</f>
        <v>0.13</v>
      </c>
      <c r="O303" s="177">
        <f>AVERAGE(J303:J305)</f>
        <v>81.13666666666667</v>
      </c>
      <c r="P303" s="124"/>
    </row>
    <row r="304" spans="2:16" x14ac:dyDescent="0.2">
      <c r="B304" s="123"/>
      <c r="C304" s="173" t="s">
        <v>250</v>
      </c>
      <c r="D304" s="173" t="s">
        <v>240</v>
      </c>
      <c r="E304" s="173" t="b">
        <v>0</v>
      </c>
      <c r="F304" s="173" t="s">
        <v>236</v>
      </c>
      <c r="G304" s="173" t="s">
        <v>233</v>
      </c>
      <c r="H304" s="41" t="str">
        <f t="shared" si="26"/>
        <v>Itchen|Poultry|FALSE|900to1200|FreeDrain</v>
      </c>
      <c r="I304" s="174">
        <v>0.15</v>
      </c>
      <c r="J304" s="174">
        <v>82.28</v>
      </c>
      <c r="K304" s="33" t="str">
        <f t="shared" si="27"/>
        <v>Poultry|900to1200</v>
      </c>
      <c r="L304" s="175">
        <f t="shared" si="29"/>
        <v>0.15</v>
      </c>
      <c r="M304" s="176">
        <f t="shared" si="29"/>
        <v>82.28</v>
      </c>
      <c r="N304" s="174"/>
      <c r="O304" s="177"/>
      <c r="P304" s="124"/>
    </row>
    <row r="305" spans="2:16" x14ac:dyDescent="0.2">
      <c r="B305" s="123"/>
      <c r="C305" s="173" t="s">
        <v>250</v>
      </c>
      <c r="D305" s="173" t="s">
        <v>240</v>
      </c>
      <c r="E305" s="173" t="b">
        <v>1</v>
      </c>
      <c r="F305" s="173" t="s">
        <v>236</v>
      </c>
      <c r="G305" s="173" t="s">
        <v>233</v>
      </c>
      <c r="H305" s="41" t="str">
        <f t="shared" si="26"/>
        <v>Itchen|Poultry|TRUE|900to1200|FreeDrain</v>
      </c>
      <c r="I305" s="174">
        <v>0.15</v>
      </c>
      <c r="J305" s="174">
        <v>82.57</v>
      </c>
      <c r="K305" s="33" t="str">
        <f t="shared" si="27"/>
        <v>Poultry|900to1200</v>
      </c>
      <c r="L305" s="175"/>
      <c r="M305" s="176"/>
      <c r="N305" s="174"/>
      <c r="O305" s="177"/>
      <c r="P305" s="124"/>
    </row>
    <row r="306" spans="2:16" x14ac:dyDescent="0.2">
      <c r="B306" s="123"/>
      <c r="C306" s="173" t="s">
        <v>250</v>
      </c>
      <c r="D306" s="173" t="s">
        <v>241</v>
      </c>
      <c r="E306" s="173" t="b">
        <v>1</v>
      </c>
      <c r="F306" s="173" t="s">
        <v>232</v>
      </c>
      <c r="G306" s="173" t="s">
        <v>233</v>
      </c>
      <c r="H306" s="41" t="str">
        <f t="shared" si="26"/>
        <v>Itchen|Dairy|TRUE|700to900|FreeDrain</v>
      </c>
      <c r="I306" s="174">
        <v>0.12</v>
      </c>
      <c r="J306" s="174">
        <v>47.12</v>
      </c>
      <c r="K306" s="33" t="str">
        <f t="shared" si="27"/>
        <v>Dairy|700to900</v>
      </c>
      <c r="L306" s="175">
        <f>AVERAGE(I306:I307)</f>
        <v>0.67999999999999994</v>
      </c>
      <c r="M306" s="176">
        <f>AVERAGE(J306:J307)</f>
        <v>34.14</v>
      </c>
      <c r="N306" s="174">
        <f>AVERAGE(I306:I307)</f>
        <v>0.67999999999999994</v>
      </c>
      <c r="O306" s="177">
        <f>AVERAGE(J306:J307)</f>
        <v>34.14</v>
      </c>
      <c r="P306" s="124"/>
    </row>
    <row r="307" spans="2:16" x14ac:dyDescent="0.2">
      <c r="B307" s="123"/>
      <c r="C307" s="173" t="s">
        <v>250</v>
      </c>
      <c r="D307" s="173" t="s">
        <v>241</v>
      </c>
      <c r="E307" s="173" t="b">
        <v>1</v>
      </c>
      <c r="F307" s="173" t="s">
        <v>232</v>
      </c>
      <c r="G307" s="173" t="s">
        <v>235</v>
      </c>
      <c r="H307" s="41" t="str">
        <f t="shared" si="26"/>
        <v>Itchen|Dairy|TRUE|700to900|DrainedArGr</v>
      </c>
      <c r="I307" s="174">
        <v>1.24</v>
      </c>
      <c r="J307" s="174">
        <v>21.16</v>
      </c>
      <c r="K307" s="33" t="str">
        <f t="shared" si="27"/>
        <v>Dairy|700to900</v>
      </c>
      <c r="L307" s="175"/>
      <c r="M307" s="176"/>
      <c r="N307" s="174"/>
      <c r="O307" s="177"/>
      <c r="P307" s="124"/>
    </row>
    <row r="308" spans="2:16" x14ac:dyDescent="0.2">
      <c r="B308" s="123"/>
      <c r="C308" s="173" t="s">
        <v>250</v>
      </c>
      <c r="D308" s="173" t="s">
        <v>242</v>
      </c>
      <c r="E308" s="173" t="b">
        <v>1</v>
      </c>
      <c r="F308" s="173" t="s">
        <v>232</v>
      </c>
      <c r="G308" s="173" t="s">
        <v>233</v>
      </c>
      <c r="H308" s="41" t="str">
        <f t="shared" si="26"/>
        <v>Itchen|Lowland|TRUE|700to900|FreeDrain</v>
      </c>
      <c r="I308" s="174">
        <v>0.06</v>
      </c>
      <c r="J308" s="174">
        <v>13.13</v>
      </c>
      <c r="K308" s="33" t="str">
        <f t="shared" si="27"/>
        <v>Lowland|700to900</v>
      </c>
      <c r="L308" s="175">
        <f>AVERAGE(I308:I310)</f>
        <v>0.27999999999999997</v>
      </c>
      <c r="M308" s="176">
        <f>AVERAGE(J308:J310)</f>
        <v>10.209999999999999</v>
      </c>
      <c r="N308" s="174">
        <f>AVERAGE(I308:I312)</f>
        <v>0.21200000000000002</v>
      </c>
      <c r="O308" s="177">
        <f>AVERAGE(J308:J312)</f>
        <v>11.756</v>
      </c>
      <c r="P308" s="124"/>
    </row>
    <row r="309" spans="2:16" x14ac:dyDescent="0.2">
      <c r="B309" s="123"/>
      <c r="C309" s="173" t="s">
        <v>250</v>
      </c>
      <c r="D309" s="173" t="s">
        <v>242</v>
      </c>
      <c r="E309" s="173" t="b">
        <v>1</v>
      </c>
      <c r="F309" s="173" t="s">
        <v>232</v>
      </c>
      <c r="G309" s="173" t="s">
        <v>234</v>
      </c>
      <c r="H309" s="41" t="str">
        <f t="shared" si="26"/>
        <v>Itchen|Lowland|TRUE|700to900|DrainedAr</v>
      </c>
      <c r="I309" s="174">
        <v>0.18</v>
      </c>
      <c r="J309" s="174">
        <v>10.16</v>
      </c>
      <c r="K309" s="33" t="str">
        <f t="shared" si="27"/>
        <v>Lowland|700to900</v>
      </c>
      <c r="L309" s="175"/>
      <c r="M309" s="176"/>
      <c r="N309" s="174"/>
      <c r="O309" s="177"/>
      <c r="P309" s="124"/>
    </row>
    <row r="310" spans="2:16" x14ac:dyDescent="0.2">
      <c r="B310" s="123"/>
      <c r="C310" s="173" t="s">
        <v>250</v>
      </c>
      <c r="D310" s="173" t="s">
        <v>242</v>
      </c>
      <c r="E310" s="173" t="b">
        <v>1</v>
      </c>
      <c r="F310" s="173" t="s">
        <v>232</v>
      </c>
      <c r="G310" s="173" t="s">
        <v>235</v>
      </c>
      <c r="H310" s="41" t="str">
        <f t="shared" si="26"/>
        <v>Itchen|Lowland|TRUE|700to900|DrainedArGr</v>
      </c>
      <c r="I310" s="174">
        <v>0.6</v>
      </c>
      <c r="J310" s="174">
        <v>7.34</v>
      </c>
      <c r="K310" s="33" t="str">
        <f t="shared" si="27"/>
        <v>Lowland|700to900</v>
      </c>
      <c r="L310" s="175"/>
      <c r="M310" s="176"/>
      <c r="N310" s="174"/>
      <c r="O310" s="177"/>
      <c r="P310" s="124"/>
    </row>
    <row r="311" spans="2:16" x14ac:dyDescent="0.2">
      <c r="B311" s="123"/>
      <c r="C311" s="173" t="s">
        <v>250</v>
      </c>
      <c r="D311" s="173" t="s">
        <v>242</v>
      </c>
      <c r="E311" s="173" t="b">
        <v>0</v>
      </c>
      <c r="F311" s="173" t="s">
        <v>236</v>
      </c>
      <c r="G311" s="173" t="s">
        <v>233</v>
      </c>
      <c r="H311" s="41" t="str">
        <f t="shared" si="26"/>
        <v>Itchen|Lowland|FALSE|900to1200|FreeDrain</v>
      </c>
      <c r="I311" s="174">
        <v>0.11</v>
      </c>
      <c r="J311" s="174">
        <v>14.12</v>
      </c>
      <c r="K311" s="33" t="str">
        <f t="shared" si="27"/>
        <v>Lowland|900to1200</v>
      </c>
      <c r="L311" s="175">
        <f>AVERAGE(I311)</f>
        <v>0.11</v>
      </c>
      <c r="M311" s="176">
        <f>AVERAGE(J311)</f>
        <v>14.12</v>
      </c>
      <c r="N311" s="174"/>
      <c r="O311" s="177"/>
      <c r="P311" s="124"/>
    </row>
    <row r="312" spans="2:16" x14ac:dyDescent="0.2">
      <c r="B312" s="123"/>
      <c r="C312" s="173" t="s">
        <v>250</v>
      </c>
      <c r="D312" s="173" t="s">
        <v>242</v>
      </c>
      <c r="E312" s="173" t="b">
        <v>1</v>
      </c>
      <c r="F312" s="173" t="s">
        <v>236</v>
      </c>
      <c r="G312" s="173" t="s">
        <v>233</v>
      </c>
      <c r="H312" s="41" t="str">
        <f t="shared" si="26"/>
        <v>Itchen|Lowland|TRUE|900to1200|FreeDrain</v>
      </c>
      <c r="I312" s="174">
        <v>0.11</v>
      </c>
      <c r="J312" s="174">
        <v>14.03</v>
      </c>
      <c r="K312" s="33" t="str">
        <f t="shared" si="27"/>
        <v>Lowland|900to1200</v>
      </c>
      <c r="L312" s="175"/>
      <c r="M312" s="176"/>
      <c r="N312" s="174"/>
      <c r="O312" s="177"/>
      <c r="P312" s="124"/>
    </row>
    <row r="313" spans="2:16" x14ac:dyDescent="0.2">
      <c r="B313" s="123"/>
      <c r="C313" s="173" t="s">
        <v>250</v>
      </c>
      <c r="D313" s="173" t="s">
        <v>243</v>
      </c>
      <c r="E313" s="173" t="b">
        <v>1</v>
      </c>
      <c r="F313" s="173" t="s">
        <v>232</v>
      </c>
      <c r="G313" s="173" t="s">
        <v>233</v>
      </c>
      <c r="H313" s="41" t="str">
        <f t="shared" si="26"/>
        <v>Itchen|Mixed|TRUE|700to900|FreeDrain</v>
      </c>
      <c r="I313" s="174">
        <v>0.1</v>
      </c>
      <c r="J313" s="174">
        <v>26.32</v>
      </c>
      <c r="K313" s="33" t="str">
        <f t="shared" si="27"/>
        <v>Mixed|700to900</v>
      </c>
      <c r="L313" s="175">
        <f>AVERAGE(I313:I314)</f>
        <v>0.33499999999999996</v>
      </c>
      <c r="M313" s="176">
        <f>AVERAGE(J313:J314)</f>
        <v>23.259999999999998</v>
      </c>
      <c r="N313" s="174">
        <f>AVERAGE(I313:I315)</f>
        <v>0.27999999999999997</v>
      </c>
      <c r="O313" s="177">
        <f>AVERAGE(J313:J315)</f>
        <v>24.823333333333334</v>
      </c>
      <c r="P313" s="124"/>
    </row>
    <row r="314" spans="2:16" x14ac:dyDescent="0.2">
      <c r="B314" s="123"/>
      <c r="C314" s="173" t="s">
        <v>250</v>
      </c>
      <c r="D314" s="173" t="s">
        <v>243</v>
      </c>
      <c r="E314" s="173" t="b">
        <v>1</v>
      </c>
      <c r="F314" s="173" t="s">
        <v>232</v>
      </c>
      <c r="G314" s="173" t="s">
        <v>234</v>
      </c>
      <c r="H314" s="41" t="str">
        <f t="shared" si="26"/>
        <v>Itchen|Mixed|TRUE|700to900|DrainedAr</v>
      </c>
      <c r="I314" s="174">
        <v>0.56999999999999995</v>
      </c>
      <c r="J314" s="174">
        <v>20.2</v>
      </c>
      <c r="K314" s="33" t="str">
        <f t="shared" si="27"/>
        <v>Mixed|700to900</v>
      </c>
      <c r="L314" s="175"/>
      <c r="M314" s="176"/>
      <c r="N314" s="174"/>
      <c r="O314" s="177"/>
      <c r="P314" s="124"/>
    </row>
    <row r="315" spans="2:16" x14ac:dyDescent="0.2">
      <c r="B315" s="123"/>
      <c r="C315" s="173" t="s">
        <v>250</v>
      </c>
      <c r="D315" s="173" t="s">
        <v>243</v>
      </c>
      <c r="E315" s="173" t="b">
        <v>1</v>
      </c>
      <c r="F315" s="173" t="s">
        <v>236</v>
      </c>
      <c r="G315" s="173" t="s">
        <v>233</v>
      </c>
      <c r="H315" s="41" t="str">
        <f t="shared" si="26"/>
        <v>Itchen|Mixed|TRUE|900to1200|FreeDrain</v>
      </c>
      <c r="I315" s="174">
        <v>0.17</v>
      </c>
      <c r="J315" s="174">
        <v>27.95</v>
      </c>
      <c r="K315" s="33" t="str">
        <f t="shared" si="27"/>
        <v>Mixed|900to1200</v>
      </c>
      <c r="L315" s="175">
        <f>AVERAGE(I315)</f>
        <v>0.17</v>
      </c>
      <c r="M315" s="176">
        <f>AVERAGE(J315)</f>
        <v>27.95</v>
      </c>
      <c r="N315" s="174"/>
      <c r="O315" s="177"/>
      <c r="P315" s="124"/>
    </row>
    <row r="316" spans="2:16" x14ac:dyDescent="0.2">
      <c r="B316" s="123"/>
      <c r="C316" s="173" t="s">
        <v>251</v>
      </c>
      <c r="D316" s="173" t="s">
        <v>117</v>
      </c>
      <c r="E316" s="173" t="b">
        <v>1</v>
      </c>
      <c r="F316" s="173" t="s">
        <v>232</v>
      </c>
      <c r="G316" s="173" t="s">
        <v>233</v>
      </c>
      <c r="H316" s="41" t="str">
        <f t="shared" si="26"/>
        <v>Western Streams|Cereals|TRUE|700to900|FreeDrain</v>
      </c>
      <c r="I316" s="174">
        <v>0.13024675782068865</v>
      </c>
      <c r="J316" s="174">
        <v>27.768902535994339</v>
      </c>
      <c r="K316" s="33" t="str">
        <f t="shared" si="27"/>
        <v>Cereals|700to900</v>
      </c>
      <c r="L316" s="175">
        <f>AVERAGE(I316:I317,I319)</f>
        <v>0.59493058941284194</v>
      </c>
      <c r="M316" s="176">
        <f>AVERAGE(J316:J317,J319)</f>
        <v>22.842278511841346</v>
      </c>
      <c r="N316" s="174">
        <f>AVERAGE(I316:I322)</f>
        <v>0.81453595360179187</v>
      </c>
      <c r="O316" s="177">
        <f>AVERAGE(J316:J322)</f>
        <v>26.833462845367041</v>
      </c>
      <c r="P316" s="124"/>
    </row>
    <row r="317" spans="2:16" x14ac:dyDescent="0.2">
      <c r="B317" s="123"/>
      <c r="C317" s="173" t="s">
        <v>251</v>
      </c>
      <c r="D317" s="173" t="s">
        <v>117</v>
      </c>
      <c r="E317" s="173" t="b">
        <v>0</v>
      </c>
      <c r="F317" s="173" t="s">
        <v>232</v>
      </c>
      <c r="G317" s="173" t="s">
        <v>234</v>
      </c>
      <c r="H317" s="41" t="str">
        <f t="shared" si="26"/>
        <v>Western Streams|Cereals|FALSE|700to900|DrainedAr</v>
      </c>
      <c r="I317" s="174">
        <v>0.69552041452774482</v>
      </c>
      <c r="J317" s="174">
        <v>21.183582085293754</v>
      </c>
      <c r="K317" s="33" t="str">
        <f t="shared" si="27"/>
        <v>Cereals|700to900</v>
      </c>
      <c r="L317" s="175"/>
      <c r="M317" s="176"/>
      <c r="N317" s="174"/>
      <c r="O317" s="177"/>
      <c r="P317" s="124"/>
    </row>
    <row r="318" spans="2:16" x14ac:dyDescent="0.2">
      <c r="B318" s="123"/>
      <c r="C318" s="173" t="s">
        <v>251</v>
      </c>
      <c r="D318" s="173" t="s">
        <v>117</v>
      </c>
      <c r="E318" s="173" t="b">
        <v>1</v>
      </c>
      <c r="F318" s="173" t="s">
        <v>232</v>
      </c>
      <c r="G318" s="173" t="s">
        <v>234</v>
      </c>
      <c r="H318" s="41" t="str">
        <f t="shared" si="26"/>
        <v>Western Streams|Cereals|TRUE|700to900|DrainedAr</v>
      </c>
      <c r="I318" s="174">
        <v>0.69547906115664548</v>
      </c>
      <c r="J318" s="174">
        <v>21.125395249290079</v>
      </c>
      <c r="K318" s="33" t="str">
        <f t="shared" si="27"/>
        <v>Cereals|700to900</v>
      </c>
      <c r="L318" s="175"/>
      <c r="M318" s="176"/>
      <c r="N318" s="174"/>
      <c r="O318" s="177"/>
      <c r="P318" s="124"/>
    </row>
    <row r="319" spans="2:16" x14ac:dyDescent="0.2">
      <c r="B319" s="123"/>
      <c r="C319" s="173" t="s">
        <v>251</v>
      </c>
      <c r="D319" s="173" t="s">
        <v>117</v>
      </c>
      <c r="E319" s="173" t="b">
        <v>1</v>
      </c>
      <c r="F319" s="173" t="s">
        <v>232</v>
      </c>
      <c r="G319" s="173" t="s">
        <v>235</v>
      </c>
      <c r="H319" s="41" t="str">
        <f t="shared" si="26"/>
        <v>Western Streams|Cereals|TRUE|700to900|DrainedArGr</v>
      </c>
      <c r="I319" s="174">
        <v>0.95902459589009248</v>
      </c>
      <c r="J319" s="174">
        <v>19.57435091423595</v>
      </c>
      <c r="K319" s="33" t="str">
        <f t="shared" si="27"/>
        <v>Cereals|700to900</v>
      </c>
      <c r="L319" s="175"/>
      <c r="M319" s="176"/>
      <c r="N319" s="174"/>
      <c r="O319" s="177"/>
      <c r="P319" s="124"/>
    </row>
    <row r="320" spans="2:16" x14ac:dyDescent="0.2">
      <c r="B320" s="123"/>
      <c r="C320" s="173" t="s">
        <v>251</v>
      </c>
      <c r="D320" s="173" t="s">
        <v>117</v>
      </c>
      <c r="E320" s="173" t="b">
        <v>0</v>
      </c>
      <c r="F320" s="173" t="s">
        <v>236</v>
      </c>
      <c r="G320" s="173" t="s">
        <v>233</v>
      </c>
      <c r="H320" s="41" t="str">
        <f t="shared" si="26"/>
        <v>Western Streams|Cereals|FALSE|900to1200|FreeDrain</v>
      </c>
      <c r="I320" s="174">
        <v>0.22994796929090908</v>
      </c>
      <c r="J320" s="174">
        <v>29.58945405741553</v>
      </c>
      <c r="K320" s="33" t="str">
        <f t="shared" si="27"/>
        <v>Cereals|900to1200</v>
      </c>
      <c r="L320" s="175">
        <f>AVERAGE(I320)</f>
        <v>0.22994796929090908</v>
      </c>
      <c r="M320" s="176">
        <f>AVERAGE(J320)</f>
        <v>29.58945405741553</v>
      </c>
      <c r="N320" s="174"/>
      <c r="O320" s="177"/>
      <c r="P320" s="124"/>
    </row>
    <row r="321" spans="2:16" x14ac:dyDescent="0.2">
      <c r="B321" s="123"/>
      <c r="C321" s="173" t="s">
        <v>251</v>
      </c>
      <c r="D321" s="173" t="s">
        <v>117</v>
      </c>
      <c r="E321" s="173" t="b">
        <v>1</v>
      </c>
      <c r="F321" s="173" t="s">
        <v>236</v>
      </c>
      <c r="G321" s="173" t="s">
        <v>233</v>
      </c>
      <c r="H321" s="41" t="str">
        <f t="shared" si="26"/>
        <v>Western Streams|Cereals|TRUE|900to1200|FreeDrain</v>
      </c>
      <c r="I321" s="174">
        <v>0.22994077397339599</v>
      </c>
      <c r="J321" s="174">
        <v>29.500324677689218</v>
      </c>
      <c r="K321" s="33" t="str">
        <f t="shared" si="27"/>
        <v>Cereals|900to1200</v>
      </c>
      <c r="L321" s="175"/>
      <c r="M321" s="176"/>
      <c r="N321" s="174"/>
      <c r="O321" s="177"/>
      <c r="P321" s="124"/>
    </row>
    <row r="322" spans="2:16" x14ac:dyDescent="0.2">
      <c r="B322" s="123"/>
      <c r="C322" s="173" t="s">
        <v>251</v>
      </c>
      <c r="D322" s="173" t="s">
        <v>117</v>
      </c>
      <c r="E322" s="173" t="b">
        <v>1</v>
      </c>
      <c r="F322" s="173" t="s">
        <v>244</v>
      </c>
      <c r="G322" s="173" t="s">
        <v>234</v>
      </c>
      <c r="H322" s="41" t="str">
        <f t="shared" si="26"/>
        <v>Western Streams|Cereals|TRUE|Over1500|DrainedAr</v>
      </c>
      <c r="I322" s="174">
        <v>2.7615921025530676</v>
      </c>
      <c r="J322" s="174">
        <v>39.092230397650425</v>
      </c>
      <c r="K322" s="33" t="str">
        <f t="shared" si="27"/>
        <v>Cereals|Over1500</v>
      </c>
      <c r="L322" s="175">
        <f>AVERAGE(I322)</f>
        <v>2.7615921025530676</v>
      </c>
      <c r="M322" s="176">
        <f>AVERAGE(J322)</f>
        <v>39.092230397650425</v>
      </c>
      <c r="N322" s="174"/>
      <c r="O322" s="177"/>
      <c r="P322" s="124"/>
    </row>
    <row r="323" spans="2:16" x14ac:dyDescent="0.2">
      <c r="B323" s="123"/>
      <c r="C323" s="173" t="s">
        <v>251</v>
      </c>
      <c r="D323" s="173" t="s">
        <v>237</v>
      </c>
      <c r="E323" s="173" t="b">
        <v>1</v>
      </c>
      <c r="F323" s="173" t="s">
        <v>232</v>
      </c>
      <c r="G323" s="173" t="s">
        <v>233</v>
      </c>
      <c r="H323" s="41" t="str">
        <f t="shared" si="26"/>
        <v>Western Streams|General|TRUE|700to900|FreeDrain</v>
      </c>
      <c r="I323" s="174">
        <v>0.10920513458276333</v>
      </c>
      <c r="J323" s="174">
        <v>25.522279413427448</v>
      </c>
      <c r="K323" s="33" t="str">
        <f t="shared" si="27"/>
        <v>General|700to900</v>
      </c>
      <c r="L323" s="175">
        <f>AVERAGE(I323:I324,I326)</f>
        <v>0.47804290103470093</v>
      </c>
      <c r="M323" s="176">
        <f>AVERAGE(J323:J324,J326)</f>
        <v>20.070072746001511</v>
      </c>
      <c r="N323" s="174">
        <f>AVERAGE(I323:I329)</f>
        <v>0.41634047076785968</v>
      </c>
      <c r="O323" s="177">
        <f>AVERAGE(J323:J329)</f>
        <v>23.012932911061494</v>
      </c>
      <c r="P323" s="124"/>
    </row>
    <row r="324" spans="2:16" x14ac:dyDescent="0.2">
      <c r="B324" s="123"/>
      <c r="C324" s="173" t="s">
        <v>251</v>
      </c>
      <c r="D324" s="173" t="s">
        <v>237</v>
      </c>
      <c r="E324" s="173" t="b">
        <v>0</v>
      </c>
      <c r="F324" s="173" t="s">
        <v>232</v>
      </c>
      <c r="G324" s="173" t="s">
        <v>234</v>
      </c>
      <c r="H324" s="41" t="str">
        <f t="shared" si="26"/>
        <v>Western Streams|General|FALSE|700to900|DrainedAr</v>
      </c>
      <c r="I324" s="174">
        <v>0.5374994121788661</v>
      </c>
      <c r="J324" s="174">
        <v>18.41672003519281</v>
      </c>
      <c r="K324" s="33" t="str">
        <f t="shared" si="27"/>
        <v>General|700to900</v>
      </c>
      <c r="L324" s="175"/>
      <c r="M324" s="176"/>
      <c r="N324" s="174"/>
      <c r="O324" s="177"/>
      <c r="P324" s="124"/>
    </row>
    <row r="325" spans="2:16" x14ac:dyDescent="0.2">
      <c r="B325" s="123"/>
      <c r="C325" s="173" t="s">
        <v>251</v>
      </c>
      <c r="D325" s="173" t="s">
        <v>237</v>
      </c>
      <c r="E325" s="173" t="b">
        <v>1</v>
      </c>
      <c r="F325" s="173" t="s">
        <v>232</v>
      </c>
      <c r="G325" s="173" t="s">
        <v>234</v>
      </c>
      <c r="H325" s="41" t="str">
        <f t="shared" si="26"/>
        <v>Western Streams|General|TRUE|700to900|DrainedAr</v>
      </c>
      <c r="I325" s="174">
        <v>0.5374994121788661</v>
      </c>
      <c r="J325" s="174">
        <v>18.370704424885751</v>
      </c>
      <c r="K325" s="33" t="str">
        <f t="shared" si="27"/>
        <v>General|700to900</v>
      </c>
      <c r="L325" s="175"/>
      <c r="M325" s="176"/>
      <c r="N325" s="174"/>
      <c r="O325" s="177"/>
      <c r="P325" s="124"/>
    </row>
    <row r="326" spans="2:16" x14ac:dyDescent="0.2">
      <c r="B326" s="123"/>
      <c r="C326" s="173" t="s">
        <v>251</v>
      </c>
      <c r="D326" s="173" t="s">
        <v>237</v>
      </c>
      <c r="E326" s="173" t="b">
        <v>1</v>
      </c>
      <c r="F326" s="173" t="s">
        <v>232</v>
      </c>
      <c r="G326" s="173" t="s">
        <v>235</v>
      </c>
      <c r="H326" s="41" t="str">
        <f t="shared" si="26"/>
        <v>Western Streams|General|TRUE|700to900|DrainedArGr</v>
      </c>
      <c r="I326" s="174">
        <v>0.7874241563424732</v>
      </c>
      <c r="J326" s="174">
        <v>16.271218789384278</v>
      </c>
      <c r="K326" s="33" t="str">
        <f t="shared" si="27"/>
        <v>General|700to900</v>
      </c>
      <c r="L326" s="175"/>
      <c r="M326" s="176"/>
      <c r="N326" s="174"/>
      <c r="O326" s="177"/>
      <c r="P326" s="124"/>
    </row>
    <row r="327" spans="2:16" x14ac:dyDescent="0.2">
      <c r="B327" s="123"/>
      <c r="C327" s="173" t="s">
        <v>251</v>
      </c>
      <c r="D327" s="173" t="s">
        <v>237</v>
      </c>
      <c r="E327" s="173" t="b">
        <v>0</v>
      </c>
      <c r="F327" s="173" t="s">
        <v>236</v>
      </c>
      <c r="G327" s="173" t="s">
        <v>233</v>
      </c>
      <c r="H327" s="41" t="str">
        <f t="shared" si="26"/>
        <v>Western Streams|General|FALSE|900to1200|FreeDrain</v>
      </c>
      <c r="I327" s="174">
        <v>0.19780352610996363</v>
      </c>
      <c r="J327" s="174">
        <v>27.223831758590471</v>
      </c>
      <c r="K327" s="33" t="str">
        <f t="shared" si="27"/>
        <v>General|900to1200</v>
      </c>
      <c r="L327" s="175">
        <f>AVERAGE(I327)</f>
        <v>0.19780352610996363</v>
      </c>
      <c r="M327" s="176">
        <f>AVERAGE(J327)</f>
        <v>27.223831758590471</v>
      </c>
      <c r="N327" s="174"/>
      <c r="O327" s="177"/>
      <c r="P327" s="124"/>
    </row>
    <row r="328" spans="2:16" x14ac:dyDescent="0.2">
      <c r="B328" s="123"/>
      <c r="C328" s="173" t="s">
        <v>251</v>
      </c>
      <c r="D328" s="173" t="s">
        <v>237</v>
      </c>
      <c r="E328" s="173" t="b">
        <v>1</v>
      </c>
      <c r="F328" s="173" t="s">
        <v>236</v>
      </c>
      <c r="G328" s="173" t="s">
        <v>233</v>
      </c>
      <c r="H328" s="41" t="str">
        <f t="shared" si="26"/>
        <v>Western Streams|General|TRUE|900to1200|FreeDrain</v>
      </c>
      <c r="I328" s="174">
        <v>0.19780352610996363</v>
      </c>
      <c r="J328" s="174">
        <v>27.151377085147796</v>
      </c>
      <c r="K328" s="33" t="str">
        <f t="shared" si="27"/>
        <v>General|900to1200</v>
      </c>
      <c r="L328" s="175"/>
      <c r="M328" s="176"/>
      <c r="N328" s="174"/>
      <c r="O328" s="177"/>
      <c r="P328" s="124"/>
    </row>
    <row r="329" spans="2:16" x14ac:dyDescent="0.2">
      <c r="B329" s="123"/>
      <c r="C329" s="173" t="s">
        <v>251</v>
      </c>
      <c r="D329" s="173" t="s">
        <v>237</v>
      </c>
      <c r="E329" s="173" t="b">
        <v>1</v>
      </c>
      <c r="F329" s="173" t="s">
        <v>244</v>
      </c>
      <c r="G329" s="173" t="s">
        <v>233</v>
      </c>
      <c r="H329" s="41" t="str">
        <f t="shared" si="26"/>
        <v>Western Streams|General|TRUE|Over1500|FreeDrain</v>
      </c>
      <c r="I329" s="174">
        <v>0.54714812787212186</v>
      </c>
      <c r="J329" s="174">
        <v>28.13439887080191</v>
      </c>
      <c r="K329" s="33" t="str">
        <f t="shared" si="27"/>
        <v>General|Over1500</v>
      </c>
      <c r="L329" s="175">
        <f>AVERAGE(I329)</f>
        <v>0.54714812787212186</v>
      </c>
      <c r="M329" s="176">
        <f>AVERAGE(J329)</f>
        <v>28.13439887080191</v>
      </c>
      <c r="N329" s="174"/>
      <c r="O329" s="177"/>
      <c r="P329" s="124"/>
    </row>
    <row r="330" spans="2:16" x14ac:dyDescent="0.2">
      <c r="B330" s="123"/>
      <c r="C330" s="173" t="s">
        <v>251</v>
      </c>
      <c r="D330" s="173" t="s">
        <v>238</v>
      </c>
      <c r="E330" s="173" t="b">
        <v>1</v>
      </c>
      <c r="F330" s="173" t="s">
        <v>232</v>
      </c>
      <c r="G330" s="173" t="s">
        <v>233</v>
      </c>
      <c r="H330" s="41" t="str">
        <f t="shared" si="26"/>
        <v>Western Streams|Horticulture|TRUE|700to900|FreeDrain</v>
      </c>
      <c r="I330" s="174">
        <v>0.12687028361813557</v>
      </c>
      <c r="J330" s="174">
        <v>26.96432324732011</v>
      </c>
      <c r="K330" s="33" t="str">
        <f t="shared" si="27"/>
        <v>Horticulture|700to900</v>
      </c>
      <c r="L330" s="175">
        <f>AVERAGE(I330:I331)</f>
        <v>0.40049220233689348</v>
      </c>
      <c r="M330" s="176">
        <f>AVERAGE(J330:J331)</f>
        <v>23.017781688199726</v>
      </c>
      <c r="N330" s="174">
        <f>AVERAGE(I330:I332)</f>
        <v>0.34486861501539673</v>
      </c>
      <c r="O330" s="177">
        <f>AVERAGE(J330:J332)</f>
        <v>24.896279862310124</v>
      </c>
      <c r="P330" s="124"/>
    </row>
    <row r="331" spans="2:16" x14ac:dyDescent="0.2">
      <c r="B331" s="123"/>
      <c r="C331" s="173" t="s">
        <v>251</v>
      </c>
      <c r="D331" s="173" t="s">
        <v>238</v>
      </c>
      <c r="E331" s="173" t="b">
        <v>1</v>
      </c>
      <c r="F331" s="173" t="s">
        <v>232</v>
      </c>
      <c r="G331" s="173" t="s">
        <v>234</v>
      </c>
      <c r="H331" s="41" t="str">
        <f t="shared" si="26"/>
        <v>Western Streams|Horticulture|TRUE|700to900|DrainedAr</v>
      </c>
      <c r="I331" s="174">
        <v>0.67411412105565138</v>
      </c>
      <c r="J331" s="174">
        <v>19.071240129079342</v>
      </c>
      <c r="K331" s="33" t="str">
        <f t="shared" si="27"/>
        <v>Horticulture|700to900</v>
      </c>
      <c r="L331" s="175"/>
      <c r="M331" s="176"/>
      <c r="N331" s="174"/>
      <c r="O331" s="177"/>
      <c r="P331" s="124"/>
    </row>
    <row r="332" spans="2:16" x14ac:dyDescent="0.2">
      <c r="B332" s="123"/>
      <c r="C332" s="173" t="s">
        <v>251</v>
      </c>
      <c r="D332" s="173" t="s">
        <v>238</v>
      </c>
      <c r="E332" s="173" t="b">
        <v>1</v>
      </c>
      <c r="F332" s="173" t="s">
        <v>236</v>
      </c>
      <c r="G332" s="173" t="s">
        <v>233</v>
      </c>
      <c r="H332" s="41" t="str">
        <f t="shared" si="26"/>
        <v>Western Streams|Horticulture|TRUE|900to1200|FreeDrain</v>
      </c>
      <c r="I332" s="174">
        <v>0.23362144037240323</v>
      </c>
      <c r="J332" s="174">
        <v>28.653276210530922</v>
      </c>
      <c r="K332" s="33" t="str">
        <f t="shared" si="27"/>
        <v>Horticulture|900to1200</v>
      </c>
      <c r="L332" s="175">
        <f>AVERAGE(I332)</f>
        <v>0.23362144037240323</v>
      </c>
      <c r="M332" s="176">
        <f>AVERAGE(J332)</f>
        <v>28.653276210530922</v>
      </c>
      <c r="N332" s="174"/>
      <c r="O332" s="177"/>
      <c r="P332" s="124"/>
    </row>
    <row r="333" spans="2:16" x14ac:dyDescent="0.2">
      <c r="B333" s="123"/>
      <c r="C333" s="173" t="s">
        <v>251</v>
      </c>
      <c r="D333" s="173" t="s">
        <v>239</v>
      </c>
      <c r="E333" s="173" t="b">
        <v>1</v>
      </c>
      <c r="F333" s="173" t="s">
        <v>232</v>
      </c>
      <c r="G333" s="173" t="s">
        <v>233</v>
      </c>
      <c r="H333" s="41" t="str">
        <f t="shared" si="26"/>
        <v>Western Streams|Pig|TRUE|700to900|FreeDrain</v>
      </c>
      <c r="I333" s="174">
        <v>0.13106928348944047</v>
      </c>
      <c r="J333" s="174">
        <v>58.201243043987482</v>
      </c>
      <c r="K333" s="33" t="str">
        <f t="shared" si="27"/>
        <v>Pig|700to900</v>
      </c>
      <c r="L333" s="175">
        <f>AVERAGE(I333:I334)</f>
        <v>0.36257559882350954</v>
      </c>
      <c r="M333" s="176">
        <f>AVERAGE(J333:J334)</f>
        <v>49.090404206419876</v>
      </c>
      <c r="N333" s="174">
        <f>AVERAGE(I333:I336)</f>
        <v>0.29423384025567395</v>
      </c>
      <c r="O333" s="177">
        <f>AVERAGE(J333:J336)</f>
        <v>55.325606942118284</v>
      </c>
      <c r="P333" s="124"/>
    </row>
    <row r="334" spans="2:16" x14ac:dyDescent="0.2">
      <c r="B334" s="123"/>
      <c r="C334" s="173" t="s">
        <v>251</v>
      </c>
      <c r="D334" s="173" t="s">
        <v>239</v>
      </c>
      <c r="E334" s="173" t="b">
        <v>1</v>
      </c>
      <c r="F334" s="173" t="s">
        <v>232</v>
      </c>
      <c r="G334" s="173" t="s">
        <v>234</v>
      </c>
      <c r="H334" s="41" t="str">
        <f t="shared" si="26"/>
        <v>Western Streams|Pig|TRUE|700to900|DrainedAr</v>
      </c>
      <c r="I334" s="174">
        <v>0.59408191415757861</v>
      </c>
      <c r="J334" s="174">
        <v>39.979565368852278</v>
      </c>
      <c r="K334" s="33" t="str">
        <f t="shared" si="27"/>
        <v>Pig|700to900</v>
      </c>
      <c r="L334" s="175"/>
      <c r="M334" s="176"/>
      <c r="N334" s="174"/>
      <c r="O334" s="177"/>
      <c r="P334" s="124"/>
    </row>
    <row r="335" spans="2:16" x14ac:dyDescent="0.2">
      <c r="B335" s="123"/>
      <c r="C335" s="173" t="s">
        <v>251</v>
      </c>
      <c r="D335" s="173" t="s">
        <v>239</v>
      </c>
      <c r="E335" s="173" t="b">
        <v>0</v>
      </c>
      <c r="F335" s="173" t="s">
        <v>236</v>
      </c>
      <c r="G335" s="173" t="s">
        <v>233</v>
      </c>
      <c r="H335" s="41" t="str">
        <f t="shared" si="26"/>
        <v>Western Streams|Pig|FALSE|900to1200|FreeDrain</v>
      </c>
      <c r="I335" s="174">
        <v>0.2270242172469259</v>
      </c>
      <c r="J335" s="174">
        <v>61.557762316930351</v>
      </c>
      <c r="K335" s="33" t="str">
        <f t="shared" si="27"/>
        <v>Pig|900to1200</v>
      </c>
      <c r="L335" s="175">
        <f>AVERAGE(I335)</f>
        <v>0.2270242172469259</v>
      </c>
      <c r="M335" s="176">
        <f>AVERAGE(J335)</f>
        <v>61.557762316930351</v>
      </c>
      <c r="N335" s="174"/>
      <c r="O335" s="177"/>
      <c r="P335" s="124"/>
    </row>
    <row r="336" spans="2:16" x14ac:dyDescent="0.2">
      <c r="B336" s="123"/>
      <c r="C336" s="173" t="s">
        <v>251</v>
      </c>
      <c r="D336" s="173" t="s">
        <v>239</v>
      </c>
      <c r="E336" s="173" t="b">
        <v>1</v>
      </c>
      <c r="F336" s="173" t="s">
        <v>236</v>
      </c>
      <c r="G336" s="173" t="s">
        <v>233</v>
      </c>
      <c r="H336" s="41" t="str">
        <f t="shared" si="26"/>
        <v>Western Streams|Pig|TRUE|900to1200|FreeDrain</v>
      </c>
      <c r="I336" s="174">
        <v>0.22475994612875089</v>
      </c>
      <c r="J336" s="174">
        <v>61.563857038703027</v>
      </c>
      <c r="K336" s="33" t="str">
        <f t="shared" si="27"/>
        <v>Pig|900to1200</v>
      </c>
      <c r="L336" s="175"/>
      <c r="M336" s="176"/>
      <c r="N336" s="174"/>
      <c r="O336" s="177"/>
      <c r="P336" s="124"/>
    </row>
    <row r="337" spans="2:16" x14ac:dyDescent="0.2">
      <c r="B337" s="123"/>
      <c r="C337" s="173" t="s">
        <v>251</v>
      </c>
      <c r="D337" s="173" t="s">
        <v>240</v>
      </c>
      <c r="E337" s="173" t="b">
        <v>1</v>
      </c>
      <c r="F337" s="173" t="s">
        <v>232</v>
      </c>
      <c r="G337" s="173" t="s">
        <v>233</v>
      </c>
      <c r="H337" s="41" t="str">
        <f t="shared" si="26"/>
        <v>Western Streams|Poultry|TRUE|700to900|FreeDrain</v>
      </c>
      <c r="I337" s="174">
        <v>0.12053483159555232</v>
      </c>
      <c r="J337" s="174">
        <v>58.62096326158396</v>
      </c>
      <c r="K337" s="33" t="str">
        <f t="shared" si="27"/>
        <v>Poultry|700to900</v>
      </c>
      <c r="L337" s="175">
        <f>AVERAGE(I337:I338,I340)</f>
        <v>0.45577923730364472</v>
      </c>
      <c r="M337" s="176">
        <f>AVERAGE(J337:J338,J340)</f>
        <v>43.836337617856749</v>
      </c>
      <c r="N337" s="174">
        <f>AVERAGE(I337:I340)</f>
        <v>0.45971880920554664</v>
      </c>
      <c r="O337" s="177">
        <f>AVERAGE(J337:J340)</f>
        <v>42.760509887037117</v>
      </c>
      <c r="P337" s="124"/>
    </row>
    <row r="338" spans="2:16" x14ac:dyDescent="0.2">
      <c r="B338" s="123"/>
      <c r="C338" s="173" t="s">
        <v>251</v>
      </c>
      <c r="D338" s="173" t="s">
        <v>240</v>
      </c>
      <c r="E338" s="173" t="b">
        <v>0</v>
      </c>
      <c r="F338" s="173" t="s">
        <v>232</v>
      </c>
      <c r="G338" s="173" t="s">
        <v>234</v>
      </c>
      <c r="H338" s="41" t="str">
        <f t="shared" si="26"/>
        <v>Western Streams|Poultry|FALSE|700to900|DrainedAr</v>
      </c>
      <c r="I338" s="174">
        <v>0.47947562980218766</v>
      </c>
      <c r="J338" s="174">
        <v>40.738080584517313</v>
      </c>
      <c r="K338" s="33" t="str">
        <f t="shared" si="27"/>
        <v>Poultry|700to900</v>
      </c>
      <c r="L338" s="175"/>
      <c r="M338" s="176"/>
      <c r="N338" s="174"/>
      <c r="O338" s="177"/>
      <c r="P338" s="124"/>
    </row>
    <row r="339" spans="2:16" x14ac:dyDescent="0.2">
      <c r="B339" s="123"/>
      <c r="C339" s="173" t="s">
        <v>251</v>
      </c>
      <c r="D339" s="173" t="s">
        <v>240</v>
      </c>
      <c r="E339" s="173" t="b">
        <v>1</v>
      </c>
      <c r="F339" s="173" t="s">
        <v>232</v>
      </c>
      <c r="G339" s="173" t="s">
        <v>234</v>
      </c>
      <c r="H339" s="41" t="str">
        <f t="shared" si="26"/>
        <v>Western Streams|Poultry|TRUE|700to900|DrainedAr</v>
      </c>
      <c r="I339" s="174">
        <v>0.47153752491125261</v>
      </c>
      <c r="J339" s="174">
        <v>39.53302669457819</v>
      </c>
      <c r="K339" s="33" t="str">
        <f t="shared" si="27"/>
        <v>Poultry|700to900</v>
      </c>
      <c r="L339" s="175"/>
      <c r="M339" s="176"/>
      <c r="N339" s="174"/>
      <c r="O339" s="177"/>
      <c r="P339" s="124"/>
    </row>
    <row r="340" spans="2:16" x14ac:dyDescent="0.2">
      <c r="B340" s="123"/>
      <c r="C340" s="173" t="s">
        <v>251</v>
      </c>
      <c r="D340" s="173" t="s">
        <v>240</v>
      </c>
      <c r="E340" s="173" t="b">
        <v>1</v>
      </c>
      <c r="F340" s="173" t="s">
        <v>232</v>
      </c>
      <c r="G340" s="173" t="s">
        <v>235</v>
      </c>
      <c r="H340" s="41" t="str">
        <f t="shared" si="26"/>
        <v>Western Streams|Poultry|TRUE|700to900|DrainedArGr</v>
      </c>
      <c r="I340" s="174">
        <v>0.76732725051319417</v>
      </c>
      <c r="J340" s="174">
        <v>32.149969007468989</v>
      </c>
      <c r="K340" s="33" t="str">
        <f t="shared" si="27"/>
        <v>Poultry|700to900</v>
      </c>
      <c r="L340" s="175"/>
      <c r="M340" s="176"/>
      <c r="N340" s="174"/>
      <c r="O340" s="177"/>
      <c r="P340" s="124"/>
    </row>
    <row r="341" spans="2:16" x14ac:dyDescent="0.2">
      <c r="B341" s="123"/>
      <c r="C341" s="173" t="s">
        <v>251</v>
      </c>
      <c r="D341" s="173" t="s">
        <v>241</v>
      </c>
      <c r="E341" s="173" t="b">
        <v>1</v>
      </c>
      <c r="F341" s="173" t="s">
        <v>232</v>
      </c>
      <c r="G341" s="173" t="s">
        <v>233</v>
      </c>
      <c r="H341" s="41" t="str">
        <f t="shared" si="26"/>
        <v>Western Streams|Dairy|TRUE|700to900|FreeDrain</v>
      </c>
      <c r="I341" s="174">
        <v>0.15170998426960897</v>
      </c>
      <c r="J341" s="174">
        <v>43.045792453235364</v>
      </c>
      <c r="K341" s="33" t="str">
        <f t="shared" si="27"/>
        <v>Dairy|700to900</v>
      </c>
      <c r="L341" s="175">
        <f>AVERAGE(I341:I342)</f>
        <v>0.27510755249785224</v>
      </c>
      <c r="M341" s="176">
        <f>AVERAGE(J341:J342)</f>
        <v>38.145256240902214</v>
      </c>
      <c r="N341" s="174">
        <f>AVERAGE(I341:I344)</f>
        <v>0.29410514268585108</v>
      </c>
      <c r="O341" s="177">
        <f>AVERAGE(J341:J344)</f>
        <v>38.672917746022854</v>
      </c>
      <c r="P341" s="124"/>
    </row>
    <row r="342" spans="2:16" x14ac:dyDescent="0.2">
      <c r="B342" s="123"/>
      <c r="C342" s="173" t="s">
        <v>251</v>
      </c>
      <c r="D342" s="173" t="s">
        <v>241</v>
      </c>
      <c r="E342" s="173" t="b">
        <v>0</v>
      </c>
      <c r="F342" s="173" t="s">
        <v>232</v>
      </c>
      <c r="G342" s="173" t="s">
        <v>234</v>
      </c>
      <c r="H342" s="41" t="str">
        <f t="shared" si="26"/>
        <v>Western Streams|Dairy|FALSE|700to900|DrainedAr</v>
      </c>
      <c r="I342" s="174">
        <v>0.39850512072609556</v>
      </c>
      <c r="J342" s="174">
        <v>33.24472002856907</v>
      </c>
      <c r="K342" s="33" t="str">
        <f t="shared" si="27"/>
        <v>Dairy|700to900</v>
      </c>
      <c r="L342" s="175"/>
      <c r="M342" s="176"/>
      <c r="N342" s="174"/>
      <c r="O342" s="177"/>
      <c r="P342" s="124"/>
    </row>
    <row r="343" spans="2:16" x14ac:dyDescent="0.2">
      <c r="B343" s="123"/>
      <c r="C343" s="173" t="s">
        <v>251</v>
      </c>
      <c r="D343" s="173" t="s">
        <v>241</v>
      </c>
      <c r="E343" s="173" t="b">
        <v>1</v>
      </c>
      <c r="F343" s="173" t="s">
        <v>232</v>
      </c>
      <c r="G343" s="173" t="s">
        <v>234</v>
      </c>
      <c r="H343" s="41" t="str">
        <f t="shared" si="26"/>
        <v>Western Streams|Dairy|TRUE|700to900|DrainedAr</v>
      </c>
      <c r="I343" s="174">
        <v>0.39613974882427172</v>
      </c>
      <c r="J343" s="174">
        <v>32.904386698159009</v>
      </c>
      <c r="K343" s="33" t="str">
        <f t="shared" si="27"/>
        <v>Dairy|700to900</v>
      </c>
      <c r="L343" s="175"/>
      <c r="M343" s="176"/>
      <c r="N343" s="174"/>
      <c r="O343" s="177"/>
      <c r="P343" s="124"/>
    </row>
    <row r="344" spans="2:16" x14ac:dyDescent="0.2">
      <c r="B344" s="123"/>
      <c r="C344" s="173" t="s">
        <v>251</v>
      </c>
      <c r="D344" s="173" t="s">
        <v>241</v>
      </c>
      <c r="E344" s="173" t="b">
        <v>1</v>
      </c>
      <c r="F344" s="173" t="s">
        <v>236</v>
      </c>
      <c r="G344" s="173" t="s">
        <v>233</v>
      </c>
      <c r="H344" s="41" t="str">
        <f t="shared" si="26"/>
        <v>Western Streams|Dairy|TRUE|900to1200|FreeDrain</v>
      </c>
      <c r="I344" s="174">
        <v>0.23006571692342803</v>
      </c>
      <c r="J344" s="174">
        <v>45.496771804127967</v>
      </c>
      <c r="K344" s="33" t="str">
        <f t="shared" si="27"/>
        <v>Dairy|900to1200</v>
      </c>
      <c r="L344" s="175">
        <f>AVERAGE(I344)</f>
        <v>0.23006571692342803</v>
      </c>
      <c r="M344" s="176">
        <f>AVERAGE(J344)</f>
        <v>45.496771804127967</v>
      </c>
      <c r="N344" s="174"/>
      <c r="O344" s="177"/>
      <c r="P344" s="124"/>
    </row>
    <row r="345" spans="2:16" x14ac:dyDescent="0.2">
      <c r="B345" s="123"/>
      <c r="C345" s="173" t="s">
        <v>251</v>
      </c>
      <c r="D345" s="173" t="s">
        <v>242</v>
      </c>
      <c r="E345" s="173" t="b">
        <v>1</v>
      </c>
      <c r="F345" s="173" t="s">
        <v>252</v>
      </c>
      <c r="G345" s="173" t="s">
        <v>234</v>
      </c>
      <c r="H345" s="41" t="str">
        <f t="shared" si="26"/>
        <v>Western Streams|Lowland|TRUE|600to700|DrainedAr</v>
      </c>
      <c r="I345" s="174">
        <v>9.139865487035681E-2</v>
      </c>
      <c r="J345" s="174">
        <v>7.31660339096545</v>
      </c>
      <c r="K345" s="33" t="str">
        <f t="shared" si="27"/>
        <v>Lowland|600to700</v>
      </c>
      <c r="L345" s="175">
        <f>AVERAGE(I346:I347)</f>
        <v>0.13208802646223156</v>
      </c>
      <c r="M345" s="176">
        <f>AVERAGE(J346:J347)</f>
        <v>12.827313046869186</v>
      </c>
      <c r="N345" s="174">
        <f>AVERAGE(I345:I350)</f>
        <v>0.22782105191745575</v>
      </c>
      <c r="O345" s="177">
        <f>AVERAGE(J345:J350)</f>
        <v>12.924624412800028</v>
      </c>
      <c r="P345" s="124"/>
    </row>
    <row r="346" spans="2:16" x14ac:dyDescent="0.2">
      <c r="B346" s="123"/>
      <c r="C346" s="173" t="s">
        <v>251</v>
      </c>
      <c r="D346" s="173" t="s">
        <v>242</v>
      </c>
      <c r="E346" s="173" t="b">
        <v>1</v>
      </c>
      <c r="F346" s="173" t="s">
        <v>232</v>
      </c>
      <c r="G346" s="173" t="s">
        <v>233</v>
      </c>
      <c r="H346" s="41" t="str">
        <f t="shared" si="26"/>
        <v>Western Streams|Lowland|TRUE|700to900|FreeDrain</v>
      </c>
      <c r="I346" s="174">
        <v>8.6217275601419632E-2</v>
      </c>
      <c r="J346" s="174">
        <v>14.371319323848871</v>
      </c>
      <c r="K346" s="33" t="str">
        <f t="shared" si="27"/>
        <v>Lowland|700to900</v>
      </c>
      <c r="L346" s="175"/>
      <c r="M346" s="176"/>
      <c r="N346" s="174"/>
      <c r="O346" s="177"/>
      <c r="P346" s="124"/>
    </row>
    <row r="347" spans="2:16" x14ac:dyDescent="0.2">
      <c r="B347" s="123"/>
      <c r="C347" s="173" t="s">
        <v>251</v>
      </c>
      <c r="D347" s="173" t="s">
        <v>242</v>
      </c>
      <c r="E347" s="173" t="b">
        <v>0</v>
      </c>
      <c r="F347" s="173" t="s">
        <v>232</v>
      </c>
      <c r="G347" s="173" t="s">
        <v>234</v>
      </c>
      <c r="H347" s="41" t="str">
        <f t="shared" si="26"/>
        <v>Western Streams|Lowland|FALSE|700to900|DrainedAr</v>
      </c>
      <c r="I347" s="174">
        <v>0.17795877732304347</v>
      </c>
      <c r="J347" s="174">
        <v>11.283306769889499</v>
      </c>
      <c r="K347" s="33" t="str">
        <f t="shared" si="27"/>
        <v>Lowland|700to900</v>
      </c>
      <c r="L347" s="175"/>
      <c r="M347" s="176"/>
      <c r="N347" s="174"/>
      <c r="O347" s="177"/>
      <c r="P347" s="124"/>
    </row>
    <row r="348" spans="2:16" x14ac:dyDescent="0.2">
      <c r="B348" s="123"/>
      <c r="C348" s="173" t="s">
        <v>251</v>
      </c>
      <c r="D348" s="173" t="s">
        <v>242</v>
      </c>
      <c r="E348" s="173" t="b">
        <v>1</v>
      </c>
      <c r="F348" s="173" t="s">
        <v>232</v>
      </c>
      <c r="G348" s="173" t="s">
        <v>234</v>
      </c>
      <c r="H348" s="41" t="str">
        <f t="shared" si="26"/>
        <v>Western Streams|Lowland|TRUE|700to900|DrainedAr</v>
      </c>
      <c r="I348" s="174">
        <v>0.17795852816646585</v>
      </c>
      <c r="J348" s="174">
        <v>11.217576264220607</v>
      </c>
      <c r="K348" s="33" t="str">
        <f t="shared" si="27"/>
        <v>Lowland|700to900</v>
      </c>
      <c r="L348" s="175"/>
      <c r="M348" s="176"/>
      <c r="N348" s="174"/>
      <c r="O348" s="177"/>
      <c r="P348" s="124"/>
    </row>
    <row r="349" spans="2:16" x14ac:dyDescent="0.2">
      <c r="B349" s="123"/>
      <c r="C349" s="173" t="s">
        <v>251</v>
      </c>
      <c r="D349" s="173" t="s">
        <v>242</v>
      </c>
      <c r="E349" s="173" t="b">
        <v>1</v>
      </c>
      <c r="F349" s="173" t="s">
        <v>236</v>
      </c>
      <c r="G349" s="173" t="s">
        <v>233</v>
      </c>
      <c r="H349" s="41" t="str">
        <f t="shared" si="26"/>
        <v>Western Streams|Lowland|TRUE|900to1200|FreeDrain</v>
      </c>
      <c r="I349" s="174">
        <v>0.1400759350070708</v>
      </c>
      <c r="J349" s="174">
        <v>15.37242545801519</v>
      </c>
      <c r="K349" s="33" t="str">
        <f t="shared" si="27"/>
        <v>Lowland|900to1200</v>
      </c>
      <c r="L349" s="175">
        <f>AVERAGE(I349)</f>
        <v>0.1400759350070708</v>
      </c>
      <c r="M349" s="176">
        <f>AVERAGE(J349)</f>
        <v>15.37242545801519</v>
      </c>
      <c r="N349" s="174"/>
      <c r="O349" s="177"/>
      <c r="P349" s="124"/>
    </row>
    <row r="350" spans="2:16" x14ac:dyDescent="0.2">
      <c r="B350" s="123"/>
      <c r="C350" s="173" t="s">
        <v>251</v>
      </c>
      <c r="D350" s="173" t="s">
        <v>242</v>
      </c>
      <c r="E350" s="173" t="b">
        <v>1</v>
      </c>
      <c r="F350" s="173" t="s">
        <v>244</v>
      </c>
      <c r="G350" s="173" t="s">
        <v>234</v>
      </c>
      <c r="H350" s="41" t="str">
        <f t="shared" ref="H350:H353" si="30">C350&amp;"|"&amp;D350&amp;"|"&amp;E350&amp;"|"&amp;F350&amp;"|"&amp;G350</f>
        <v>Western Streams|Lowland|TRUE|Over1500|DrainedAr</v>
      </c>
      <c r="I350" s="174">
        <v>0.69331714053637794</v>
      </c>
      <c r="J350" s="174">
        <v>17.986515269860568</v>
      </c>
      <c r="K350" s="33" t="str">
        <f t="shared" ref="K350:K354" si="31">D350&amp;"|"&amp;F350&amp;""</f>
        <v>Lowland|Over1500</v>
      </c>
      <c r="L350" s="175">
        <f>AVERAGE(I350)</f>
        <v>0.69331714053637794</v>
      </c>
      <c r="M350" s="176">
        <f>AVERAGE(J350)</f>
        <v>17.986515269860568</v>
      </c>
      <c r="N350" s="174"/>
      <c r="O350" s="177"/>
      <c r="P350" s="124"/>
    </row>
    <row r="351" spans="2:16" x14ac:dyDescent="0.2">
      <c r="B351" s="123"/>
      <c r="C351" s="173" t="s">
        <v>251</v>
      </c>
      <c r="D351" s="173" t="s">
        <v>243</v>
      </c>
      <c r="E351" s="173" t="b">
        <v>1</v>
      </c>
      <c r="F351" s="173" t="s">
        <v>232</v>
      </c>
      <c r="G351" s="173" t="s">
        <v>233</v>
      </c>
      <c r="H351" s="41" t="str">
        <f t="shared" si="30"/>
        <v>Western Streams|Mixed|TRUE|700to900|FreeDrain</v>
      </c>
      <c r="I351" s="174">
        <v>0.11897757755002789</v>
      </c>
      <c r="J351" s="174">
        <v>23.368548606789503</v>
      </c>
      <c r="K351" s="33" t="str">
        <f t="shared" si="31"/>
        <v>Mixed|700to900</v>
      </c>
      <c r="L351" s="175">
        <f>AVERAGE(I351:I352)</f>
        <v>0.31347420508767532</v>
      </c>
      <c r="M351" s="176">
        <f>AVERAGE(J351:J352)</f>
        <v>20.649292136642583</v>
      </c>
      <c r="N351" s="174">
        <f>AVERAGE(I351:I354)</f>
        <v>0.25967669556999418</v>
      </c>
      <c r="O351" s="177">
        <f>AVERAGE(J351:J354)</f>
        <v>22.77741168685008</v>
      </c>
      <c r="P351" s="124"/>
    </row>
    <row r="352" spans="2:16" x14ac:dyDescent="0.2">
      <c r="B352" s="123"/>
      <c r="C352" s="173" t="s">
        <v>251</v>
      </c>
      <c r="D352" s="173" t="s">
        <v>243</v>
      </c>
      <c r="E352" s="173" t="b">
        <v>1</v>
      </c>
      <c r="F352" s="173" t="s">
        <v>232</v>
      </c>
      <c r="G352" s="173" t="s">
        <v>234</v>
      </c>
      <c r="H352" s="41" t="str">
        <f t="shared" si="30"/>
        <v>Western Streams|Mixed|TRUE|700to900|DrainedAr</v>
      </c>
      <c r="I352" s="174">
        <v>0.50797083262532272</v>
      </c>
      <c r="J352" s="174">
        <v>17.930035666495662</v>
      </c>
      <c r="K352" s="33" t="str">
        <f t="shared" si="31"/>
        <v>Mixed|700to900</v>
      </c>
      <c r="L352" s="175"/>
      <c r="M352" s="176"/>
      <c r="N352" s="174"/>
      <c r="O352" s="177"/>
      <c r="P352" s="124"/>
    </row>
    <row r="353" spans="2:16" x14ac:dyDescent="0.2">
      <c r="B353" s="123"/>
      <c r="C353" s="173" t="s">
        <v>251</v>
      </c>
      <c r="D353" s="173" t="s">
        <v>243</v>
      </c>
      <c r="E353" s="173" t="b">
        <v>0</v>
      </c>
      <c r="F353" s="173" t="s">
        <v>236</v>
      </c>
      <c r="G353" s="173" t="s">
        <v>233</v>
      </c>
      <c r="H353" s="41" t="str">
        <f t="shared" si="30"/>
        <v>Western Streams|Mixed|FALSE|900to1200|FreeDrain</v>
      </c>
      <c r="I353" s="174">
        <v>0.20594725774044434</v>
      </c>
      <c r="J353" s="174">
        <v>24.971671068963371</v>
      </c>
      <c r="K353" s="33" t="str">
        <f t="shared" si="31"/>
        <v>Mixed|900to1200</v>
      </c>
      <c r="L353" s="175">
        <f>AVERAGE(I353)</f>
        <v>0.20594725774044434</v>
      </c>
      <c r="M353" s="176">
        <f>AVERAGE(J353)</f>
        <v>24.971671068963371</v>
      </c>
      <c r="N353" s="174"/>
      <c r="O353" s="177"/>
      <c r="P353" s="124"/>
    </row>
    <row r="354" spans="2:16" x14ac:dyDescent="0.2">
      <c r="B354" s="123"/>
      <c r="C354" s="173" t="s">
        <v>251</v>
      </c>
      <c r="D354" s="173" t="s">
        <v>243</v>
      </c>
      <c r="E354" s="173" t="b">
        <v>1</v>
      </c>
      <c r="F354" s="173" t="s">
        <v>236</v>
      </c>
      <c r="G354" s="173" t="s">
        <v>233</v>
      </c>
      <c r="H354" s="41" t="str">
        <f>C354&amp;"|"&amp;D354&amp;"|"&amp;E354&amp;"|"&amp;F354&amp;"|"&amp;G354</f>
        <v>Western Streams|Mixed|TRUE|900to1200|FreeDrain</v>
      </c>
      <c r="I354" s="174">
        <v>0.20581111436418165</v>
      </c>
      <c r="J354" s="174">
        <v>24.839391405151794</v>
      </c>
      <c r="K354" s="33" t="str">
        <f t="shared" si="31"/>
        <v>Mixed|900to1200</v>
      </c>
      <c r="L354" s="175"/>
      <c r="M354" s="176"/>
      <c r="N354" s="174"/>
      <c r="O354" s="177"/>
      <c r="P354" s="124"/>
    </row>
    <row r="355" spans="2:16" x14ac:dyDescent="0.2">
      <c r="B355" s="123"/>
      <c r="C355" s="165" t="s">
        <v>253</v>
      </c>
      <c r="D355" s="165" t="s">
        <v>117</v>
      </c>
      <c r="E355" s="165" t="b">
        <v>0</v>
      </c>
      <c r="F355" s="165" t="s">
        <v>232</v>
      </c>
      <c r="G355" s="165" t="s">
        <v>233</v>
      </c>
      <c r="H355" s="41" t="str">
        <f t="shared" ref="H355:H418" si="32">C355&amp;"|"&amp;D355&amp;"|"&amp;E355&amp;"|"&amp;F355&amp;"|"&amp;G355</f>
        <v>Arun and Western Streams|Cereals|FALSE|700to900|FreeDrain</v>
      </c>
      <c r="I355" s="119">
        <v>0.31980649719647075</v>
      </c>
      <c r="J355" s="44">
        <v>61.304615100869157</v>
      </c>
      <c r="K355" s="36" t="str">
        <f>D355&amp;"|"&amp;F355&amp;""</f>
        <v>Cereals|700to900</v>
      </c>
      <c r="L355" s="27"/>
      <c r="M355" s="27"/>
      <c r="N355" s="27"/>
      <c r="O355" s="27"/>
      <c r="P355" s="124"/>
    </row>
    <row r="356" spans="2:16" x14ac:dyDescent="0.2">
      <c r="B356" s="123"/>
      <c r="C356" s="165" t="s">
        <v>253</v>
      </c>
      <c r="D356" s="165" t="s">
        <v>117</v>
      </c>
      <c r="E356" s="165" t="b">
        <v>1</v>
      </c>
      <c r="F356" s="165" t="s">
        <v>232</v>
      </c>
      <c r="G356" s="165" t="s">
        <v>233</v>
      </c>
      <c r="H356" s="41" t="str">
        <f t="shared" si="32"/>
        <v>Arun and Western Streams|Cereals|TRUE|700to900|FreeDrain</v>
      </c>
      <c r="I356" s="119">
        <v>0.31979476471907864</v>
      </c>
      <c r="J356" s="44">
        <v>61.125162216931614</v>
      </c>
      <c r="K356" s="36" t="str">
        <f t="shared" ref="K356:K419" si="33">D356&amp;"|"&amp;F356&amp;""</f>
        <v>Cereals|700to900</v>
      </c>
      <c r="L356" s="27"/>
      <c r="M356" s="27"/>
      <c r="N356" s="27"/>
      <c r="O356" s="27"/>
      <c r="P356" s="124"/>
    </row>
    <row r="357" spans="2:16" x14ac:dyDescent="0.2">
      <c r="B357" s="123"/>
      <c r="C357" s="165" t="s">
        <v>253</v>
      </c>
      <c r="D357" s="165" t="s">
        <v>117</v>
      </c>
      <c r="E357" s="165" t="b">
        <v>0</v>
      </c>
      <c r="F357" s="165" t="s">
        <v>232</v>
      </c>
      <c r="G357" s="165" t="s">
        <v>234</v>
      </c>
      <c r="H357" s="41" t="str">
        <f t="shared" si="32"/>
        <v>Arun and Western Streams|Cereals|FALSE|700to900|DrainedAr</v>
      </c>
      <c r="I357" s="119">
        <v>1.4951482671442777</v>
      </c>
      <c r="J357" s="44">
        <v>46.511098965141429</v>
      </c>
      <c r="K357" s="36" t="str">
        <f t="shared" si="33"/>
        <v>Cereals|700to900</v>
      </c>
      <c r="L357" s="27"/>
      <c r="M357" s="27"/>
      <c r="N357" s="27"/>
      <c r="O357" s="27"/>
      <c r="P357" s="124"/>
    </row>
    <row r="358" spans="2:16" x14ac:dyDescent="0.2">
      <c r="B358" s="123"/>
      <c r="C358" s="165" t="s">
        <v>253</v>
      </c>
      <c r="D358" s="165" t="s">
        <v>117</v>
      </c>
      <c r="E358" s="165" t="b">
        <v>1</v>
      </c>
      <c r="F358" s="165" t="s">
        <v>232</v>
      </c>
      <c r="G358" s="165" t="s">
        <v>234</v>
      </c>
      <c r="H358" s="41" t="str">
        <f t="shared" si="32"/>
        <v>Arun and Western Streams|Cereals|TRUE|700to900|DrainedAr</v>
      </c>
      <c r="I358" s="119">
        <v>1.4950903823826114</v>
      </c>
      <c r="J358" s="44">
        <v>46.389005659586388</v>
      </c>
      <c r="K358" s="36" t="str">
        <f t="shared" si="33"/>
        <v>Cereals|700to900</v>
      </c>
      <c r="L358" s="27"/>
      <c r="M358" s="27"/>
      <c r="N358" s="27"/>
      <c r="O358" s="27"/>
      <c r="P358" s="124"/>
    </row>
    <row r="359" spans="2:16" x14ac:dyDescent="0.2">
      <c r="B359" s="123"/>
      <c r="C359" s="165" t="s">
        <v>253</v>
      </c>
      <c r="D359" s="165" t="s">
        <v>117</v>
      </c>
      <c r="E359" s="165" t="b">
        <v>0</v>
      </c>
      <c r="F359" s="165" t="s">
        <v>232</v>
      </c>
      <c r="G359" s="165" t="s">
        <v>235</v>
      </c>
      <c r="H359" s="41" t="str">
        <f t="shared" si="32"/>
        <v>Arun and Western Streams|Cereals|FALSE|700to900|DrainedArGr</v>
      </c>
      <c r="I359" s="119">
        <v>2.0848960522886828</v>
      </c>
      <c r="J359" s="44">
        <v>42.882608191245623</v>
      </c>
      <c r="K359" s="36" t="str">
        <f t="shared" si="33"/>
        <v>Cereals|700to900</v>
      </c>
      <c r="L359" s="27"/>
      <c r="M359" s="27"/>
      <c r="N359" s="27"/>
      <c r="O359" s="27"/>
      <c r="P359" s="124"/>
    </row>
    <row r="360" spans="2:16" x14ac:dyDescent="0.2">
      <c r="B360" s="123"/>
      <c r="C360" s="165" t="s">
        <v>253</v>
      </c>
      <c r="D360" s="165" t="s">
        <v>117</v>
      </c>
      <c r="E360" s="165" t="b">
        <v>1</v>
      </c>
      <c r="F360" s="165" t="s">
        <v>232</v>
      </c>
      <c r="G360" s="165" t="s">
        <v>235</v>
      </c>
      <c r="H360" s="41" t="str">
        <f t="shared" si="32"/>
        <v>Arun and Western Streams|Cereals|TRUE|700to900|DrainedArGr</v>
      </c>
      <c r="I360" s="119">
        <v>2.0847476633182813</v>
      </c>
      <c r="J360" s="44">
        <v>42.783605839604292</v>
      </c>
      <c r="K360" s="36" t="str">
        <f t="shared" si="33"/>
        <v>Cereals|700to900</v>
      </c>
      <c r="L360" s="27"/>
      <c r="M360" s="27"/>
      <c r="N360" s="27"/>
      <c r="O360" s="27"/>
      <c r="P360" s="124"/>
    </row>
    <row r="361" spans="2:16" x14ac:dyDescent="0.2">
      <c r="B361" s="123"/>
      <c r="C361" s="165" t="s">
        <v>253</v>
      </c>
      <c r="D361" s="165" t="s">
        <v>117</v>
      </c>
      <c r="E361" s="165" t="b">
        <v>0</v>
      </c>
      <c r="F361" s="165" t="s">
        <v>236</v>
      </c>
      <c r="G361" s="165" t="s">
        <v>233</v>
      </c>
      <c r="H361" s="41" t="str">
        <f t="shared" si="32"/>
        <v>Arun and Western Streams|Cereals|FALSE|900to1200|FreeDrain</v>
      </c>
      <c r="I361" s="119">
        <v>0.56624247103597858</v>
      </c>
      <c r="J361" s="44">
        <v>65.26375984052477</v>
      </c>
      <c r="K361" s="36" t="str">
        <f t="shared" si="33"/>
        <v>Cereals|900to1200</v>
      </c>
      <c r="L361" s="27"/>
      <c r="M361" s="27"/>
      <c r="N361" s="27"/>
      <c r="O361" s="27"/>
      <c r="P361" s="124"/>
    </row>
    <row r="362" spans="2:16" x14ac:dyDescent="0.2">
      <c r="B362" s="123"/>
      <c r="C362" s="165" t="s">
        <v>253</v>
      </c>
      <c r="D362" s="165" t="s">
        <v>117</v>
      </c>
      <c r="E362" s="165" t="b">
        <v>1</v>
      </c>
      <c r="F362" s="165" t="s">
        <v>236</v>
      </c>
      <c r="G362" s="165" t="s">
        <v>233</v>
      </c>
      <c r="H362" s="41" t="str">
        <f t="shared" si="32"/>
        <v>Arun and Western Streams|Cereals|TRUE|900to1200|FreeDrain</v>
      </c>
      <c r="I362" s="119">
        <v>0.56622805612760496</v>
      </c>
      <c r="J362" s="44">
        <v>65.075246746329739</v>
      </c>
      <c r="K362" s="36" t="str">
        <f t="shared" si="33"/>
        <v>Cereals|900to1200</v>
      </c>
      <c r="L362" s="27"/>
      <c r="M362" s="27"/>
      <c r="N362" s="27"/>
      <c r="O362" s="27"/>
      <c r="P362" s="124"/>
    </row>
    <row r="363" spans="2:16" x14ac:dyDescent="0.2">
      <c r="B363" s="123"/>
      <c r="C363" s="165" t="s">
        <v>253</v>
      </c>
      <c r="D363" s="165" t="s">
        <v>117</v>
      </c>
      <c r="E363" s="165" t="b">
        <v>0</v>
      </c>
      <c r="F363" s="165" t="s">
        <v>236</v>
      </c>
      <c r="G363" s="165" t="s">
        <v>234</v>
      </c>
      <c r="H363" s="41" t="str">
        <f t="shared" si="32"/>
        <v>Arun and Western Streams|Cereals|FALSE|900to1200|DrainedAr</v>
      </c>
      <c r="I363" s="119">
        <v>2.8147334771173966</v>
      </c>
      <c r="J363" s="44">
        <v>59.336940641870086</v>
      </c>
      <c r="K363" s="36" t="str">
        <f t="shared" si="33"/>
        <v>Cereals|900to1200</v>
      </c>
      <c r="L363" s="27"/>
      <c r="M363" s="27"/>
      <c r="N363" s="27"/>
      <c r="O363" s="27"/>
      <c r="P363" s="124"/>
    </row>
    <row r="364" spans="2:16" x14ac:dyDescent="0.2">
      <c r="B364" s="123"/>
      <c r="C364" s="165" t="s">
        <v>253</v>
      </c>
      <c r="D364" s="165" t="s">
        <v>117</v>
      </c>
      <c r="E364" s="165" t="b">
        <v>0</v>
      </c>
      <c r="F364" s="165" t="s">
        <v>236</v>
      </c>
      <c r="G364" s="165" t="s">
        <v>235</v>
      </c>
      <c r="H364" s="41" t="str">
        <f t="shared" si="32"/>
        <v>Arun and Western Streams|Cereals|FALSE|900to1200|DrainedArGr</v>
      </c>
      <c r="I364" s="119">
        <v>3.3918604461027861</v>
      </c>
      <c r="J364" s="44">
        <v>49.293371689533771</v>
      </c>
      <c r="K364" s="36" t="str">
        <f t="shared" si="33"/>
        <v>Cereals|900to1200</v>
      </c>
      <c r="L364" s="27"/>
      <c r="M364" s="27"/>
      <c r="N364" s="27"/>
      <c r="O364" s="27"/>
      <c r="P364" s="124"/>
    </row>
    <row r="365" spans="2:16" x14ac:dyDescent="0.2">
      <c r="B365" s="123"/>
      <c r="C365" s="165" t="s">
        <v>253</v>
      </c>
      <c r="D365" s="165" t="s">
        <v>117</v>
      </c>
      <c r="E365" s="165" t="b">
        <v>1</v>
      </c>
      <c r="F365" s="165" t="s">
        <v>236</v>
      </c>
      <c r="G365" s="165" t="s">
        <v>235</v>
      </c>
      <c r="H365" s="41" t="str">
        <f t="shared" si="32"/>
        <v>Arun and Western Streams|Cereals|TRUE|900to1200|DrainedArGr</v>
      </c>
      <c r="I365" s="119">
        <v>3.3916622365904705</v>
      </c>
      <c r="J365" s="44">
        <v>49.192781094382902</v>
      </c>
      <c r="K365" s="36" t="str">
        <f t="shared" si="33"/>
        <v>Cereals|900to1200</v>
      </c>
      <c r="L365" s="27"/>
      <c r="M365" s="27"/>
      <c r="N365" s="27"/>
      <c r="O365" s="27"/>
      <c r="P365" s="124"/>
    </row>
    <row r="366" spans="2:16" x14ac:dyDescent="0.2">
      <c r="B366" s="123"/>
      <c r="C366" s="165" t="s">
        <v>253</v>
      </c>
      <c r="D366" s="165" t="s">
        <v>117</v>
      </c>
      <c r="E366" s="165" t="b">
        <v>1</v>
      </c>
      <c r="F366" s="165" t="s">
        <v>244</v>
      </c>
      <c r="G366" s="165" t="s">
        <v>234</v>
      </c>
      <c r="H366" s="41" t="str">
        <f t="shared" si="32"/>
        <v>Arun and Western Streams|Cereals|TRUE|Over1500|DrainedAr</v>
      </c>
      <c r="I366" s="119">
        <v>5.9203399951108935</v>
      </c>
      <c r="J366" s="44">
        <v>85.927135359514267</v>
      </c>
      <c r="K366" s="36" t="str">
        <f t="shared" si="33"/>
        <v>Cereals|Over1500</v>
      </c>
      <c r="L366" s="27"/>
      <c r="M366" s="27"/>
      <c r="N366" s="27"/>
      <c r="O366" s="27"/>
      <c r="P366" s="124"/>
    </row>
    <row r="367" spans="2:16" x14ac:dyDescent="0.2">
      <c r="B367" s="123"/>
      <c r="C367" s="165" t="s">
        <v>253</v>
      </c>
      <c r="D367" s="165" t="s">
        <v>237</v>
      </c>
      <c r="E367" s="165" t="b">
        <v>0</v>
      </c>
      <c r="F367" s="165" t="s">
        <v>232</v>
      </c>
      <c r="G367" s="165" t="s">
        <v>233</v>
      </c>
      <c r="H367" s="41" t="str">
        <f t="shared" si="32"/>
        <v>Arun and Western Streams|General|FALSE|700to900|FreeDrain</v>
      </c>
      <c r="I367" s="119">
        <v>0.11743140079470424</v>
      </c>
      <c r="J367" s="44">
        <v>21.349506215055293</v>
      </c>
      <c r="K367" s="36" t="str">
        <f t="shared" si="33"/>
        <v>General|700to900</v>
      </c>
      <c r="L367" s="27"/>
      <c r="M367" s="27"/>
      <c r="N367" s="27"/>
      <c r="O367" s="27"/>
      <c r="P367" s="124"/>
    </row>
    <row r="368" spans="2:16" x14ac:dyDescent="0.2">
      <c r="B368" s="123"/>
      <c r="C368" s="165" t="s">
        <v>253</v>
      </c>
      <c r="D368" s="165" t="s">
        <v>237</v>
      </c>
      <c r="E368" s="165" t="b">
        <v>1</v>
      </c>
      <c r="F368" s="165" t="s">
        <v>232</v>
      </c>
      <c r="G368" s="165" t="s">
        <v>233</v>
      </c>
      <c r="H368" s="41" t="str">
        <f t="shared" si="32"/>
        <v>Arun and Western Streams|General|TRUE|700to900|FreeDrain</v>
      </c>
      <c r="I368" s="119">
        <v>0.11743140079470424</v>
      </c>
      <c r="J368" s="44">
        <v>21.292439345408823</v>
      </c>
      <c r="K368" s="36" t="str">
        <f t="shared" si="33"/>
        <v>General|700to900</v>
      </c>
      <c r="L368" s="27"/>
      <c r="M368" s="27"/>
      <c r="N368" s="27"/>
      <c r="O368" s="27"/>
      <c r="P368" s="124"/>
    </row>
    <row r="369" spans="2:16" x14ac:dyDescent="0.2">
      <c r="B369" s="123"/>
      <c r="C369" s="165" t="s">
        <v>253</v>
      </c>
      <c r="D369" s="165" t="s">
        <v>237</v>
      </c>
      <c r="E369" s="165" t="b">
        <v>0</v>
      </c>
      <c r="F369" s="165" t="s">
        <v>232</v>
      </c>
      <c r="G369" s="165" t="s">
        <v>234</v>
      </c>
      <c r="H369" s="41" t="str">
        <f t="shared" si="32"/>
        <v>Arun and Western Streams|General|FALSE|700to900|DrainedAr</v>
      </c>
      <c r="I369" s="119">
        <v>0.46102797568324894</v>
      </c>
      <c r="J369" s="44">
        <v>15.716216498016278</v>
      </c>
      <c r="K369" s="36" t="str">
        <f t="shared" si="33"/>
        <v>General|700to900</v>
      </c>
      <c r="L369" s="27"/>
      <c r="M369" s="27"/>
      <c r="N369" s="27"/>
      <c r="O369" s="27"/>
      <c r="P369" s="124"/>
    </row>
    <row r="370" spans="2:16" x14ac:dyDescent="0.2">
      <c r="B370" s="123"/>
      <c r="C370" s="165" t="s">
        <v>253</v>
      </c>
      <c r="D370" s="165" t="s">
        <v>237</v>
      </c>
      <c r="E370" s="165" t="b">
        <v>1</v>
      </c>
      <c r="F370" s="165" t="s">
        <v>232</v>
      </c>
      <c r="G370" s="165" t="s">
        <v>234</v>
      </c>
      <c r="H370" s="41" t="str">
        <f t="shared" si="32"/>
        <v>Arun and Western Streams|General|TRUE|700to900|DrainedAr</v>
      </c>
      <c r="I370" s="119">
        <v>0.46102797568324894</v>
      </c>
      <c r="J370" s="44">
        <v>15.67850124572341</v>
      </c>
      <c r="K370" s="36" t="str">
        <f t="shared" si="33"/>
        <v>General|700to900</v>
      </c>
      <c r="L370" s="27"/>
      <c r="M370" s="27"/>
      <c r="N370" s="27"/>
      <c r="O370" s="27"/>
      <c r="P370" s="124"/>
    </row>
    <row r="371" spans="2:16" x14ac:dyDescent="0.2">
      <c r="B371" s="123"/>
      <c r="C371" s="165" t="s">
        <v>253</v>
      </c>
      <c r="D371" s="165" t="s">
        <v>237</v>
      </c>
      <c r="E371" s="165" t="b">
        <v>0</v>
      </c>
      <c r="F371" s="165" t="s">
        <v>232</v>
      </c>
      <c r="G371" s="165" t="s">
        <v>235</v>
      </c>
      <c r="H371" s="41" t="str">
        <f t="shared" si="32"/>
        <v>Arun and Western Streams|General|FALSE|700to900|DrainedArGr</v>
      </c>
      <c r="I371" s="119">
        <v>0.7330997162091818</v>
      </c>
      <c r="J371" s="44">
        <v>13.95894970786688</v>
      </c>
      <c r="K371" s="36" t="str">
        <f t="shared" si="33"/>
        <v>General|700to900</v>
      </c>
      <c r="L371" s="27"/>
      <c r="M371" s="27"/>
      <c r="N371" s="27"/>
      <c r="O371" s="27"/>
      <c r="P371" s="124"/>
    </row>
    <row r="372" spans="2:16" x14ac:dyDescent="0.2">
      <c r="B372" s="123"/>
      <c r="C372" s="165" t="s">
        <v>253</v>
      </c>
      <c r="D372" s="165" t="s">
        <v>237</v>
      </c>
      <c r="E372" s="165" t="b">
        <v>1</v>
      </c>
      <c r="F372" s="165" t="s">
        <v>232</v>
      </c>
      <c r="G372" s="165" t="s">
        <v>235</v>
      </c>
      <c r="H372" s="41" t="str">
        <f t="shared" si="32"/>
        <v>Arun and Western Streams|General|TRUE|700to900|DrainedArGr</v>
      </c>
      <c r="I372" s="119">
        <v>0.7330997162091818</v>
      </c>
      <c r="J372" s="44">
        <v>13.928892014173233</v>
      </c>
      <c r="K372" s="36" t="str">
        <f t="shared" si="33"/>
        <v>General|700to900</v>
      </c>
      <c r="L372" s="27"/>
      <c r="M372" s="27"/>
      <c r="N372" s="27"/>
      <c r="O372" s="27"/>
      <c r="P372" s="124"/>
    </row>
    <row r="373" spans="2:16" x14ac:dyDescent="0.2">
      <c r="B373" s="123"/>
      <c r="C373" s="165" t="s">
        <v>253</v>
      </c>
      <c r="D373" s="165" t="s">
        <v>237</v>
      </c>
      <c r="E373" s="165" t="b">
        <v>0</v>
      </c>
      <c r="F373" s="165" t="s">
        <v>236</v>
      </c>
      <c r="G373" s="165" t="s">
        <v>233</v>
      </c>
      <c r="H373" s="41" t="str">
        <f t="shared" si="32"/>
        <v>Arun and Western Streams|General|FALSE|900to1200|FreeDrain</v>
      </c>
      <c r="I373" s="119">
        <v>0.21174528842009396</v>
      </c>
      <c r="J373" s="44">
        <v>22.88894723798203</v>
      </c>
      <c r="K373" s="36" t="str">
        <f t="shared" si="33"/>
        <v>General|900to1200</v>
      </c>
      <c r="L373" s="27"/>
      <c r="M373" s="27"/>
      <c r="N373" s="27"/>
      <c r="O373" s="27"/>
      <c r="P373" s="124"/>
    </row>
    <row r="374" spans="2:16" x14ac:dyDescent="0.2">
      <c r="B374" s="123"/>
      <c r="C374" s="165" t="s">
        <v>253</v>
      </c>
      <c r="D374" s="165" t="s">
        <v>237</v>
      </c>
      <c r="E374" s="165" t="b">
        <v>1</v>
      </c>
      <c r="F374" s="165" t="s">
        <v>236</v>
      </c>
      <c r="G374" s="165" t="s">
        <v>233</v>
      </c>
      <c r="H374" s="41" t="str">
        <f t="shared" si="32"/>
        <v>Arun and Western Streams|General|TRUE|900to1200|FreeDrain</v>
      </c>
      <c r="I374" s="119">
        <v>0.21174528842009396</v>
      </c>
      <c r="J374" s="44">
        <v>22.828955829941812</v>
      </c>
      <c r="K374" s="36" t="str">
        <f t="shared" si="33"/>
        <v>General|900to1200</v>
      </c>
      <c r="L374" s="27"/>
      <c r="M374" s="27"/>
      <c r="N374" s="27"/>
      <c r="O374" s="27"/>
      <c r="P374" s="124"/>
    </row>
    <row r="375" spans="2:16" x14ac:dyDescent="0.2">
      <c r="B375" s="123"/>
      <c r="C375" s="165" t="s">
        <v>253</v>
      </c>
      <c r="D375" s="165" t="s">
        <v>237</v>
      </c>
      <c r="E375" s="165" t="b">
        <v>0</v>
      </c>
      <c r="F375" s="165" t="s">
        <v>236</v>
      </c>
      <c r="G375" s="165" t="s">
        <v>234</v>
      </c>
      <c r="H375" s="41" t="str">
        <f t="shared" si="32"/>
        <v>Arun and Western Streams|General|FALSE|900to1200|DrainedAr</v>
      </c>
      <c r="I375" s="119">
        <v>0.87898152318170519</v>
      </c>
      <c r="J375" s="44">
        <v>19.998966408668696</v>
      </c>
      <c r="K375" s="36" t="str">
        <f t="shared" si="33"/>
        <v>General|900to1200</v>
      </c>
      <c r="L375" s="27"/>
      <c r="M375" s="27"/>
      <c r="N375" s="27"/>
      <c r="O375" s="27"/>
      <c r="P375" s="124"/>
    </row>
    <row r="376" spans="2:16" x14ac:dyDescent="0.2">
      <c r="B376" s="123"/>
      <c r="C376" s="165" t="s">
        <v>253</v>
      </c>
      <c r="D376" s="165" t="s">
        <v>237</v>
      </c>
      <c r="E376" s="165" t="b">
        <v>1</v>
      </c>
      <c r="F376" s="165" t="s">
        <v>236</v>
      </c>
      <c r="G376" s="165" t="s">
        <v>234</v>
      </c>
      <c r="H376" s="41" t="str">
        <f t="shared" si="32"/>
        <v>Arun and Western Streams|General|TRUE|900to1200|DrainedAr</v>
      </c>
      <c r="I376" s="119">
        <v>0.87898152318170519</v>
      </c>
      <c r="J376" s="44">
        <v>19.95354176453916</v>
      </c>
      <c r="K376" s="36" t="str">
        <f t="shared" si="33"/>
        <v>General|900to1200</v>
      </c>
      <c r="L376" s="27"/>
      <c r="M376" s="27"/>
      <c r="N376" s="27"/>
      <c r="O376" s="27"/>
      <c r="P376" s="124"/>
    </row>
    <row r="377" spans="2:16" x14ac:dyDescent="0.2">
      <c r="B377" s="123"/>
      <c r="C377" s="165" t="s">
        <v>253</v>
      </c>
      <c r="D377" s="165" t="s">
        <v>237</v>
      </c>
      <c r="E377" s="165" t="b">
        <v>0</v>
      </c>
      <c r="F377" s="165" t="s">
        <v>236</v>
      </c>
      <c r="G377" s="165" t="s">
        <v>235</v>
      </c>
      <c r="H377" s="41" t="str">
        <f t="shared" si="32"/>
        <v>Arun and Western Streams|General|FALSE|900to1200|DrainedArGr</v>
      </c>
      <c r="I377" s="119">
        <v>1.2361140241352466</v>
      </c>
      <c r="J377" s="44">
        <v>16.195362554220626</v>
      </c>
      <c r="K377" s="36" t="str">
        <f t="shared" si="33"/>
        <v>General|900to1200</v>
      </c>
      <c r="L377" s="27"/>
      <c r="M377" s="27"/>
      <c r="N377" s="27"/>
      <c r="O377" s="27"/>
      <c r="P377" s="124"/>
    </row>
    <row r="378" spans="2:16" x14ac:dyDescent="0.2">
      <c r="B378" s="123"/>
      <c r="C378" s="165" t="s">
        <v>253</v>
      </c>
      <c r="D378" s="165" t="s">
        <v>237</v>
      </c>
      <c r="E378" s="165" t="b">
        <v>1</v>
      </c>
      <c r="F378" s="165" t="s">
        <v>236</v>
      </c>
      <c r="G378" s="165" t="s">
        <v>235</v>
      </c>
      <c r="H378" s="41" t="str">
        <f t="shared" si="32"/>
        <v>Arun and Western Streams|General|TRUE|900to1200|DrainedArGr</v>
      </c>
      <c r="I378" s="119">
        <v>1.2361140241352466</v>
      </c>
      <c r="J378" s="44">
        <v>16.165148075165153</v>
      </c>
      <c r="K378" s="36" t="str">
        <f t="shared" si="33"/>
        <v>General|900to1200</v>
      </c>
      <c r="L378" s="27"/>
      <c r="M378" s="27"/>
      <c r="N378" s="27"/>
      <c r="O378" s="27"/>
      <c r="P378" s="124"/>
    </row>
    <row r="379" spans="2:16" x14ac:dyDescent="0.2">
      <c r="B379" s="123"/>
      <c r="C379" s="165" t="s">
        <v>253</v>
      </c>
      <c r="D379" s="165" t="s">
        <v>237</v>
      </c>
      <c r="E379" s="165" t="b">
        <v>1</v>
      </c>
      <c r="F379" s="165" t="s">
        <v>244</v>
      </c>
      <c r="G379" s="165" t="s">
        <v>233</v>
      </c>
      <c r="H379" s="41" t="str">
        <f t="shared" si="32"/>
        <v>Arun and Western Streams|General|TRUE|Over1500|FreeDrain</v>
      </c>
      <c r="I379" s="119">
        <v>0.57882974942919185</v>
      </c>
      <c r="J379" s="44">
        <v>23.830600393743129</v>
      </c>
      <c r="K379" s="36" t="str">
        <f t="shared" si="33"/>
        <v>General|Over1500</v>
      </c>
      <c r="L379" s="27"/>
      <c r="M379" s="27"/>
      <c r="N379" s="27"/>
      <c r="O379" s="27"/>
      <c r="P379" s="124"/>
    </row>
    <row r="380" spans="2:16" x14ac:dyDescent="0.2">
      <c r="B380" s="123"/>
      <c r="C380" s="165" t="s">
        <v>253</v>
      </c>
      <c r="D380" s="165" t="s">
        <v>238</v>
      </c>
      <c r="E380" s="165" t="b">
        <v>0</v>
      </c>
      <c r="F380" s="165" t="s">
        <v>232</v>
      </c>
      <c r="G380" s="165" t="s">
        <v>233</v>
      </c>
      <c r="H380" s="41" t="str">
        <f t="shared" si="32"/>
        <v>Arun and Western Streams|Horticulture|FALSE|700to900|FreeDrain</v>
      </c>
      <c r="I380" s="119">
        <v>8.5887365159007051E-2</v>
      </c>
      <c r="J380" s="44">
        <v>14.609655855846086</v>
      </c>
      <c r="K380" s="36" t="str">
        <f t="shared" si="33"/>
        <v>Horticulture|700to900</v>
      </c>
      <c r="L380" s="27"/>
      <c r="M380" s="27"/>
      <c r="N380" s="27"/>
      <c r="O380" s="27"/>
      <c r="P380" s="124"/>
    </row>
    <row r="381" spans="2:16" x14ac:dyDescent="0.2">
      <c r="B381" s="123"/>
      <c r="C381" s="165" t="s">
        <v>253</v>
      </c>
      <c r="D381" s="165" t="s">
        <v>238</v>
      </c>
      <c r="E381" s="165" t="b">
        <v>1</v>
      </c>
      <c r="F381" s="165" t="s">
        <v>232</v>
      </c>
      <c r="G381" s="165" t="s">
        <v>233</v>
      </c>
      <c r="H381" s="41" t="str">
        <f t="shared" si="32"/>
        <v>Arun and Western Streams|Horticulture|TRUE|700to900|FreeDrain</v>
      </c>
      <c r="I381" s="119">
        <v>8.5887365159007051E-2</v>
      </c>
      <c r="J381" s="44">
        <v>14.570935100935335</v>
      </c>
      <c r="K381" s="36" t="str">
        <f t="shared" si="33"/>
        <v>Horticulture|700to900</v>
      </c>
      <c r="L381" s="27"/>
      <c r="M381" s="27"/>
      <c r="N381" s="27"/>
      <c r="O381" s="27"/>
      <c r="P381" s="124"/>
    </row>
    <row r="382" spans="2:16" x14ac:dyDescent="0.2">
      <c r="B382" s="123"/>
      <c r="C382" s="165" t="s">
        <v>253</v>
      </c>
      <c r="D382" s="165" t="s">
        <v>238</v>
      </c>
      <c r="E382" s="165" t="b">
        <v>1</v>
      </c>
      <c r="F382" s="165" t="s">
        <v>232</v>
      </c>
      <c r="G382" s="165" t="s">
        <v>234</v>
      </c>
      <c r="H382" s="41" t="str">
        <f t="shared" si="32"/>
        <v>Arun and Western Streams|Horticulture|TRUE|700to900|DrainedAr</v>
      </c>
      <c r="I382" s="119">
        <v>0.39150418883489435</v>
      </c>
      <c r="J382" s="44">
        <v>10.48821918151036</v>
      </c>
      <c r="K382" s="36" t="str">
        <f t="shared" si="33"/>
        <v>Horticulture|700to900</v>
      </c>
      <c r="L382" s="27"/>
      <c r="M382" s="27"/>
      <c r="N382" s="27"/>
      <c r="O382" s="27"/>
      <c r="P382" s="124"/>
    </row>
    <row r="383" spans="2:16" x14ac:dyDescent="0.2">
      <c r="B383" s="123"/>
      <c r="C383" s="165" t="s">
        <v>253</v>
      </c>
      <c r="D383" s="165" t="s">
        <v>238</v>
      </c>
      <c r="E383" s="165" t="b">
        <v>0</v>
      </c>
      <c r="F383" s="165" t="s">
        <v>232</v>
      </c>
      <c r="G383" s="165" t="s">
        <v>235</v>
      </c>
      <c r="H383" s="41" t="str">
        <f t="shared" si="32"/>
        <v>Arun and Western Streams|Horticulture|FALSE|700to900|DrainedArGr</v>
      </c>
      <c r="I383" s="119">
        <v>0.56767811023206505</v>
      </c>
      <c r="J383" s="44">
        <v>9.2473109656420025</v>
      </c>
      <c r="K383" s="36" t="str">
        <f t="shared" si="33"/>
        <v>Horticulture|700to900</v>
      </c>
      <c r="L383" s="27"/>
      <c r="M383" s="27"/>
      <c r="N383" s="27"/>
      <c r="O383" s="27"/>
      <c r="P383" s="124"/>
    </row>
    <row r="384" spans="2:16" x14ac:dyDescent="0.2">
      <c r="B384" s="123"/>
      <c r="C384" s="165" t="s">
        <v>253</v>
      </c>
      <c r="D384" s="165" t="s">
        <v>238</v>
      </c>
      <c r="E384" s="165" t="b">
        <v>1</v>
      </c>
      <c r="F384" s="165" t="s">
        <v>232</v>
      </c>
      <c r="G384" s="165" t="s">
        <v>235</v>
      </c>
      <c r="H384" s="41" t="str">
        <f t="shared" si="32"/>
        <v>Arun and Western Streams|Horticulture|TRUE|700to900|DrainedArGr</v>
      </c>
      <c r="I384" s="119">
        <v>0.56767811023206505</v>
      </c>
      <c r="J384" s="44">
        <v>9.2269001324604929</v>
      </c>
      <c r="K384" s="36" t="str">
        <f t="shared" si="33"/>
        <v>Horticulture|700to900</v>
      </c>
      <c r="L384" s="27"/>
      <c r="M384" s="27"/>
      <c r="N384" s="27"/>
      <c r="O384" s="27"/>
      <c r="P384" s="124"/>
    </row>
    <row r="385" spans="2:16" x14ac:dyDescent="0.2">
      <c r="B385" s="123"/>
      <c r="C385" s="165" t="s">
        <v>253</v>
      </c>
      <c r="D385" s="165" t="s">
        <v>238</v>
      </c>
      <c r="E385" s="165" t="b">
        <v>0</v>
      </c>
      <c r="F385" s="165" t="s">
        <v>236</v>
      </c>
      <c r="G385" s="165" t="s">
        <v>233</v>
      </c>
      <c r="H385" s="41" t="str">
        <f t="shared" si="32"/>
        <v>Arun and Western Streams|Horticulture|FALSE|900to1200|FreeDrain</v>
      </c>
      <c r="I385" s="119">
        <v>0.15822303630231194</v>
      </c>
      <c r="J385" s="44">
        <v>15.701161419859735</v>
      </c>
      <c r="K385" s="36" t="str">
        <f t="shared" si="33"/>
        <v>Horticulture|900to1200</v>
      </c>
      <c r="L385" s="27"/>
      <c r="M385" s="27"/>
      <c r="N385" s="27"/>
      <c r="O385" s="27"/>
      <c r="P385" s="124"/>
    </row>
    <row r="386" spans="2:16" x14ac:dyDescent="0.2">
      <c r="B386" s="123"/>
      <c r="C386" s="165" t="s">
        <v>253</v>
      </c>
      <c r="D386" s="165" t="s">
        <v>238</v>
      </c>
      <c r="E386" s="165" t="b">
        <v>1</v>
      </c>
      <c r="F386" s="165" t="s">
        <v>236</v>
      </c>
      <c r="G386" s="165" t="s">
        <v>233</v>
      </c>
      <c r="H386" s="41" t="str">
        <f t="shared" si="32"/>
        <v>Arun and Western Streams|Horticulture|TRUE|900to1200|FreeDrain</v>
      </c>
      <c r="I386" s="119">
        <v>0.15822303630231194</v>
      </c>
      <c r="J386" s="44">
        <v>15.660230677914072</v>
      </c>
      <c r="K386" s="36" t="str">
        <f t="shared" si="33"/>
        <v>Horticulture|900to1200</v>
      </c>
      <c r="L386" s="27"/>
      <c r="M386" s="27"/>
      <c r="N386" s="27"/>
      <c r="O386" s="27"/>
      <c r="P386" s="124"/>
    </row>
    <row r="387" spans="2:16" x14ac:dyDescent="0.2">
      <c r="B387" s="123"/>
      <c r="C387" s="165" t="s">
        <v>253</v>
      </c>
      <c r="D387" s="165" t="s">
        <v>238</v>
      </c>
      <c r="E387" s="165" t="b">
        <v>0</v>
      </c>
      <c r="F387" s="165" t="s">
        <v>236</v>
      </c>
      <c r="G387" s="165" t="s">
        <v>234</v>
      </c>
      <c r="H387" s="41" t="str">
        <f t="shared" si="32"/>
        <v>Arun and Western Streams|Horticulture|FALSE|900to1200|DrainedAr</v>
      </c>
      <c r="I387" s="119">
        <v>0.74166119852847623</v>
      </c>
      <c r="J387" s="44">
        <v>13.298831235629049</v>
      </c>
      <c r="K387" s="36" t="str">
        <f t="shared" si="33"/>
        <v>Horticulture|900to1200</v>
      </c>
      <c r="L387" s="27"/>
      <c r="M387" s="27"/>
      <c r="N387" s="27"/>
      <c r="O387" s="27"/>
      <c r="P387" s="124"/>
    </row>
    <row r="388" spans="2:16" x14ac:dyDescent="0.2">
      <c r="B388" s="123"/>
      <c r="C388" s="165" t="s">
        <v>253</v>
      </c>
      <c r="D388" s="165" t="s">
        <v>238</v>
      </c>
      <c r="E388" s="165" t="b">
        <v>0</v>
      </c>
      <c r="F388" s="165" t="s">
        <v>236</v>
      </c>
      <c r="G388" s="165" t="s">
        <v>235</v>
      </c>
      <c r="H388" s="41" t="str">
        <f t="shared" si="32"/>
        <v>Arun and Western Streams|Horticulture|FALSE|900to1200|DrainedArGr</v>
      </c>
      <c r="I388" s="119">
        <v>0.92541086963140462</v>
      </c>
      <c r="J388" s="44">
        <v>10.51642935493766</v>
      </c>
      <c r="K388" s="36" t="str">
        <f t="shared" si="33"/>
        <v>Horticulture|900to1200</v>
      </c>
      <c r="L388" s="27"/>
      <c r="M388" s="27"/>
      <c r="N388" s="27"/>
      <c r="O388" s="27"/>
      <c r="P388" s="124"/>
    </row>
    <row r="389" spans="2:16" x14ac:dyDescent="0.2">
      <c r="B389" s="123"/>
      <c r="C389" s="165" t="s">
        <v>253</v>
      </c>
      <c r="D389" s="165" t="s">
        <v>238</v>
      </c>
      <c r="E389" s="165" t="b">
        <v>1</v>
      </c>
      <c r="F389" s="165" t="s">
        <v>236</v>
      </c>
      <c r="G389" s="165" t="s">
        <v>235</v>
      </c>
      <c r="H389" s="41" t="str">
        <f t="shared" si="32"/>
        <v>Arun and Western Streams|Horticulture|TRUE|900to1200|DrainedArGr</v>
      </c>
      <c r="I389" s="119">
        <v>0.92541086963140462</v>
      </c>
      <c r="J389" s="44">
        <v>10.495715984264365</v>
      </c>
      <c r="K389" s="36" t="str">
        <f t="shared" si="33"/>
        <v>Horticulture|900to1200</v>
      </c>
      <c r="L389" s="27"/>
      <c r="M389" s="27"/>
      <c r="N389" s="27"/>
      <c r="O389" s="27"/>
      <c r="P389" s="124"/>
    </row>
    <row r="390" spans="2:16" x14ac:dyDescent="0.2">
      <c r="B390" s="123"/>
      <c r="C390" s="165" t="s">
        <v>253</v>
      </c>
      <c r="D390" s="165" t="s">
        <v>239</v>
      </c>
      <c r="E390" s="165" t="b">
        <v>1</v>
      </c>
      <c r="F390" s="165" t="s">
        <v>232</v>
      </c>
      <c r="G390" s="165" t="s">
        <v>233</v>
      </c>
      <c r="H390" s="41" t="str">
        <f t="shared" si="32"/>
        <v>Arun and Western Streams|Pig|TRUE|700to900|FreeDrain</v>
      </c>
      <c r="I390" s="119">
        <v>0.19374457034566267</v>
      </c>
      <c r="J390" s="44">
        <v>101.65897449883356</v>
      </c>
      <c r="K390" s="36" t="str">
        <f t="shared" si="33"/>
        <v>Pig|700to900</v>
      </c>
      <c r="L390" s="27"/>
      <c r="M390" s="27"/>
      <c r="N390" s="27"/>
      <c r="O390" s="27"/>
      <c r="P390" s="124"/>
    </row>
    <row r="391" spans="2:16" x14ac:dyDescent="0.2">
      <c r="B391" s="123"/>
      <c r="C391" s="165" t="s">
        <v>253</v>
      </c>
      <c r="D391" s="165" t="s">
        <v>239</v>
      </c>
      <c r="E391" s="165" t="b">
        <v>1</v>
      </c>
      <c r="F391" s="165" t="s">
        <v>232</v>
      </c>
      <c r="G391" s="165" t="s">
        <v>235</v>
      </c>
      <c r="H391" s="41" t="str">
        <f t="shared" si="32"/>
        <v>Arun and Western Streams|Pig|TRUE|700to900|DrainedArGr</v>
      </c>
      <c r="I391" s="119">
        <v>1.3406910999940174</v>
      </c>
      <c r="J391" s="44">
        <v>54.615457927800556</v>
      </c>
      <c r="K391" s="36" t="str">
        <f t="shared" si="33"/>
        <v>Pig|700to900</v>
      </c>
      <c r="L391" s="27"/>
      <c r="M391" s="27"/>
      <c r="N391" s="27"/>
      <c r="O391" s="27"/>
      <c r="P391" s="124"/>
    </row>
    <row r="392" spans="2:16" x14ac:dyDescent="0.2">
      <c r="B392" s="123"/>
      <c r="C392" s="165" t="s">
        <v>253</v>
      </c>
      <c r="D392" s="165" t="s">
        <v>239</v>
      </c>
      <c r="E392" s="165" t="b">
        <v>0</v>
      </c>
      <c r="F392" s="165" t="s">
        <v>236</v>
      </c>
      <c r="G392" s="165" t="s">
        <v>233</v>
      </c>
      <c r="H392" s="41" t="str">
        <f t="shared" si="32"/>
        <v>Arun and Western Streams|Pig|FALSE|900to1200|FreeDrain</v>
      </c>
      <c r="I392" s="119">
        <v>0.32614018378749837</v>
      </c>
      <c r="J392" s="44">
        <v>107.23760033864133</v>
      </c>
      <c r="K392" s="36" t="str">
        <f t="shared" si="33"/>
        <v>Pig|900to1200</v>
      </c>
      <c r="L392" s="27"/>
      <c r="M392" s="27"/>
      <c r="N392" s="27"/>
      <c r="O392" s="27"/>
      <c r="P392" s="124"/>
    </row>
    <row r="393" spans="2:16" x14ac:dyDescent="0.2">
      <c r="B393" s="123"/>
      <c r="C393" s="165" t="s">
        <v>253</v>
      </c>
      <c r="D393" s="165" t="s">
        <v>239</v>
      </c>
      <c r="E393" s="165" t="b">
        <v>1</v>
      </c>
      <c r="F393" s="165" t="s">
        <v>236</v>
      </c>
      <c r="G393" s="165" t="s">
        <v>233</v>
      </c>
      <c r="H393" s="41" t="str">
        <f t="shared" si="32"/>
        <v>Arun and Western Streams|Pig|TRUE|900to1200|FreeDrain</v>
      </c>
      <c r="I393" s="119">
        <v>0.32085584018133001</v>
      </c>
      <c r="J393" s="44">
        <v>107.36053305308511</v>
      </c>
      <c r="K393" s="36" t="str">
        <f t="shared" si="33"/>
        <v>Pig|900to1200</v>
      </c>
      <c r="L393" s="27"/>
      <c r="M393" s="27"/>
      <c r="N393" s="27"/>
      <c r="O393" s="27"/>
      <c r="P393" s="124"/>
    </row>
    <row r="394" spans="2:16" x14ac:dyDescent="0.2">
      <c r="B394" s="123"/>
      <c r="C394" s="165" t="s">
        <v>253</v>
      </c>
      <c r="D394" s="165" t="s">
        <v>239</v>
      </c>
      <c r="E394" s="165" t="b">
        <v>0</v>
      </c>
      <c r="F394" s="165" t="s">
        <v>236</v>
      </c>
      <c r="G394" s="165" t="s">
        <v>234</v>
      </c>
      <c r="H394" s="41" t="str">
        <f t="shared" si="32"/>
        <v>Arun and Western Streams|Pig|FALSE|900to1200|DrainedAr</v>
      </c>
      <c r="I394" s="119">
        <v>1.2936989765428737</v>
      </c>
      <c r="J394" s="44">
        <v>86.726223429535708</v>
      </c>
      <c r="K394" s="36" t="str">
        <f t="shared" si="33"/>
        <v>Pig|900to1200</v>
      </c>
      <c r="L394" s="27"/>
      <c r="M394" s="27"/>
      <c r="N394" s="27"/>
      <c r="O394" s="27"/>
      <c r="P394" s="124"/>
    </row>
    <row r="395" spans="2:16" x14ac:dyDescent="0.2">
      <c r="B395" s="123"/>
      <c r="C395" s="165" t="s">
        <v>253</v>
      </c>
      <c r="D395" s="165" t="s">
        <v>239</v>
      </c>
      <c r="E395" s="165" t="b">
        <v>0</v>
      </c>
      <c r="F395" s="165" t="s">
        <v>236</v>
      </c>
      <c r="G395" s="165" t="s">
        <v>235</v>
      </c>
      <c r="H395" s="41" t="str">
        <f t="shared" si="32"/>
        <v>Arun and Western Streams|Pig|FALSE|900to1200|DrainedArGr</v>
      </c>
      <c r="I395" s="119">
        <v>2.0958432811308207</v>
      </c>
      <c r="J395" s="44">
        <v>64.15795227924076</v>
      </c>
      <c r="K395" s="36" t="str">
        <f t="shared" si="33"/>
        <v>Pig|900to1200</v>
      </c>
      <c r="L395" s="27"/>
      <c r="M395" s="27"/>
      <c r="N395" s="27"/>
      <c r="O395" s="27"/>
      <c r="P395" s="124"/>
    </row>
    <row r="396" spans="2:16" x14ac:dyDescent="0.2">
      <c r="B396" s="123"/>
      <c r="C396" s="165" t="s">
        <v>253</v>
      </c>
      <c r="D396" s="165" t="s">
        <v>240</v>
      </c>
      <c r="E396" s="165" t="b">
        <v>1</v>
      </c>
      <c r="F396" s="165" t="s">
        <v>232</v>
      </c>
      <c r="G396" s="165" t="s">
        <v>233</v>
      </c>
      <c r="H396" s="41" t="str">
        <f t="shared" si="32"/>
        <v>Arun and Western Streams|Poultry|TRUE|700to900|FreeDrain</v>
      </c>
      <c r="I396" s="119">
        <v>0.13286613956225668</v>
      </c>
      <c r="J396" s="44">
        <v>70.701087608670321</v>
      </c>
      <c r="K396" s="36" t="str">
        <f t="shared" si="33"/>
        <v>Poultry|700to900</v>
      </c>
      <c r="L396" s="27"/>
      <c r="M396" s="27"/>
      <c r="N396" s="27"/>
      <c r="O396" s="27"/>
      <c r="P396" s="124"/>
    </row>
    <row r="397" spans="2:16" x14ac:dyDescent="0.2">
      <c r="B397" s="123"/>
      <c r="C397" s="165" t="s">
        <v>253</v>
      </c>
      <c r="D397" s="165" t="s">
        <v>240</v>
      </c>
      <c r="E397" s="165" t="b">
        <v>0</v>
      </c>
      <c r="F397" s="165" t="s">
        <v>232</v>
      </c>
      <c r="G397" s="165" t="s">
        <v>234</v>
      </c>
      <c r="H397" s="41" t="str">
        <f t="shared" si="32"/>
        <v>Arun and Western Streams|Poultry|FALSE|700to900|DrainedAr</v>
      </c>
      <c r="I397" s="119">
        <v>0.40036236160097877</v>
      </c>
      <c r="J397" s="44">
        <v>48.962233794348613</v>
      </c>
      <c r="K397" s="36" t="str">
        <f t="shared" si="33"/>
        <v>Poultry|700to900</v>
      </c>
      <c r="L397" s="27"/>
      <c r="M397" s="27"/>
      <c r="N397" s="27"/>
      <c r="O397" s="27"/>
      <c r="P397" s="124"/>
    </row>
    <row r="398" spans="2:16" x14ac:dyDescent="0.2">
      <c r="B398" s="123"/>
      <c r="C398" s="165" t="s">
        <v>253</v>
      </c>
      <c r="D398" s="165" t="s">
        <v>240</v>
      </c>
      <c r="E398" s="165" t="b">
        <v>1</v>
      </c>
      <c r="F398" s="165" t="s">
        <v>232</v>
      </c>
      <c r="G398" s="165" t="s">
        <v>234</v>
      </c>
      <c r="H398" s="41" t="str">
        <f t="shared" si="32"/>
        <v>Arun and Western Streams|Poultry|TRUE|700to900|DrainedAr</v>
      </c>
      <c r="I398" s="119">
        <v>0.3904276843175345</v>
      </c>
      <c r="J398" s="44">
        <v>47.279787088834937</v>
      </c>
      <c r="K398" s="36" t="str">
        <f t="shared" si="33"/>
        <v>Poultry|700to900</v>
      </c>
      <c r="L398" s="27"/>
      <c r="M398" s="27"/>
      <c r="N398" s="27"/>
      <c r="O398" s="27"/>
      <c r="P398" s="124"/>
    </row>
    <row r="399" spans="2:16" x14ac:dyDescent="0.2">
      <c r="B399" s="123"/>
      <c r="C399" s="165" t="s">
        <v>253</v>
      </c>
      <c r="D399" s="165" t="s">
        <v>240</v>
      </c>
      <c r="E399" s="165" t="b">
        <v>0</v>
      </c>
      <c r="F399" s="165" t="s">
        <v>232</v>
      </c>
      <c r="G399" s="165" t="s">
        <v>235</v>
      </c>
      <c r="H399" s="41" t="str">
        <f t="shared" si="32"/>
        <v>Arun and Western Streams|Poultry|FALSE|700to900|DrainedArGr</v>
      </c>
      <c r="I399" s="119">
        <v>0.71369351922422042</v>
      </c>
      <c r="J399" s="44">
        <v>39.753429411709064</v>
      </c>
      <c r="K399" s="36" t="str">
        <f t="shared" si="33"/>
        <v>Poultry|700to900</v>
      </c>
      <c r="L399" s="27"/>
      <c r="M399" s="27"/>
      <c r="N399" s="27"/>
      <c r="O399" s="27"/>
      <c r="P399" s="124"/>
    </row>
    <row r="400" spans="2:16" x14ac:dyDescent="0.2">
      <c r="B400" s="123"/>
      <c r="C400" s="165" t="s">
        <v>253</v>
      </c>
      <c r="D400" s="165" t="s">
        <v>240</v>
      </c>
      <c r="E400" s="165" t="b">
        <v>1</v>
      </c>
      <c r="F400" s="165" t="s">
        <v>232</v>
      </c>
      <c r="G400" s="165" t="s">
        <v>235</v>
      </c>
      <c r="H400" s="41" t="str">
        <f t="shared" si="32"/>
        <v>Arun and Western Streams|Poultry|TRUE|700to900|DrainedArGr</v>
      </c>
      <c r="I400" s="119">
        <v>0.70019339437116213</v>
      </c>
      <c r="J400" s="44">
        <v>37.272535452949846</v>
      </c>
      <c r="K400" s="36" t="str">
        <f t="shared" si="33"/>
        <v>Poultry|700to900</v>
      </c>
      <c r="L400" s="27"/>
      <c r="M400" s="27"/>
      <c r="N400" s="27"/>
      <c r="O400" s="27"/>
      <c r="P400" s="124"/>
    </row>
    <row r="401" spans="2:16" x14ac:dyDescent="0.2">
      <c r="B401" s="123"/>
      <c r="C401" s="165" t="s">
        <v>253</v>
      </c>
      <c r="D401" s="165" t="s">
        <v>240</v>
      </c>
      <c r="E401" s="165" t="b">
        <v>0</v>
      </c>
      <c r="F401" s="165" t="s">
        <v>236</v>
      </c>
      <c r="G401" s="165" t="s">
        <v>233</v>
      </c>
      <c r="H401" s="41" t="str">
        <f t="shared" si="32"/>
        <v>Arun and Western Streams|Poultry|FALSE|900to1200|FreeDrain</v>
      </c>
      <c r="I401" s="119">
        <v>0.21849307179497349</v>
      </c>
      <c r="J401" s="44">
        <v>74.033130262370207</v>
      </c>
      <c r="K401" s="36" t="str">
        <f t="shared" si="33"/>
        <v>Poultry|900to1200</v>
      </c>
      <c r="L401" s="27"/>
      <c r="M401" s="27"/>
      <c r="N401" s="27"/>
      <c r="O401" s="27"/>
      <c r="P401" s="124"/>
    </row>
    <row r="402" spans="2:16" x14ac:dyDescent="0.2">
      <c r="B402" s="123"/>
      <c r="C402" s="165" t="s">
        <v>253</v>
      </c>
      <c r="D402" s="165" t="s">
        <v>240</v>
      </c>
      <c r="E402" s="165" t="b">
        <v>0</v>
      </c>
      <c r="F402" s="165" t="s">
        <v>236</v>
      </c>
      <c r="G402" s="165" t="s">
        <v>235</v>
      </c>
      <c r="H402" s="41" t="str">
        <f t="shared" si="32"/>
        <v>Arun and Western Streams|Poultry|FALSE|900to1200|DrainedArGr</v>
      </c>
      <c r="I402" s="119">
        <v>1.1740401399795592</v>
      </c>
      <c r="J402" s="44">
        <v>43.794642805743067</v>
      </c>
      <c r="K402" s="36" t="str">
        <f t="shared" si="33"/>
        <v>Poultry|900to1200</v>
      </c>
      <c r="L402" s="27"/>
      <c r="M402" s="27"/>
      <c r="N402" s="27"/>
      <c r="O402" s="27"/>
      <c r="P402" s="124"/>
    </row>
    <row r="403" spans="2:16" x14ac:dyDescent="0.2">
      <c r="B403" s="123"/>
      <c r="C403" s="165" t="s">
        <v>253</v>
      </c>
      <c r="D403" s="165" t="s">
        <v>241</v>
      </c>
      <c r="E403" s="165" t="b">
        <v>0</v>
      </c>
      <c r="F403" s="165" t="s">
        <v>232</v>
      </c>
      <c r="G403" s="165" t="s">
        <v>233</v>
      </c>
      <c r="H403" s="41" t="str">
        <f t="shared" si="32"/>
        <v>Arun and Western Streams|Dairy|FALSE|700to900|FreeDrain</v>
      </c>
      <c r="I403" s="119">
        <v>0.45787342702714146</v>
      </c>
      <c r="J403" s="44">
        <v>112.43799443590743</v>
      </c>
      <c r="K403" s="36" t="str">
        <f t="shared" si="33"/>
        <v>Dairy|700to900</v>
      </c>
      <c r="L403" s="27"/>
      <c r="M403" s="27"/>
      <c r="N403" s="27"/>
      <c r="O403" s="27"/>
      <c r="P403" s="124"/>
    </row>
    <row r="404" spans="2:16" x14ac:dyDescent="0.2">
      <c r="B404" s="123"/>
      <c r="C404" s="165" t="s">
        <v>253</v>
      </c>
      <c r="D404" s="165" t="s">
        <v>241</v>
      </c>
      <c r="E404" s="165" t="b">
        <v>1</v>
      </c>
      <c r="F404" s="165" t="s">
        <v>232</v>
      </c>
      <c r="G404" s="165" t="s">
        <v>233</v>
      </c>
      <c r="H404" s="41" t="str">
        <f t="shared" si="32"/>
        <v>Arun and Western Streams|Dairy|TRUE|700to900|FreeDrain</v>
      </c>
      <c r="I404" s="119">
        <v>0.4531726605817501</v>
      </c>
      <c r="J404" s="44">
        <v>111.33501266111224</v>
      </c>
      <c r="K404" s="36" t="str">
        <f t="shared" si="33"/>
        <v>Dairy|700to900</v>
      </c>
      <c r="L404" s="27"/>
      <c r="M404" s="27"/>
      <c r="N404" s="27"/>
      <c r="O404" s="27"/>
      <c r="P404" s="124"/>
    </row>
    <row r="405" spans="2:16" x14ac:dyDescent="0.2">
      <c r="B405" s="123"/>
      <c r="C405" s="165" t="s">
        <v>253</v>
      </c>
      <c r="D405" s="165" t="s">
        <v>241</v>
      </c>
      <c r="E405" s="165" t="b">
        <v>0</v>
      </c>
      <c r="F405" s="165" t="s">
        <v>232</v>
      </c>
      <c r="G405" s="165" t="s">
        <v>234</v>
      </c>
      <c r="H405" s="41" t="str">
        <f t="shared" si="32"/>
        <v>Arun and Western Streams|Dairy|FALSE|700to900|DrainedAr</v>
      </c>
      <c r="I405" s="119">
        <v>0.93542959730394037</v>
      </c>
      <c r="J405" s="44">
        <v>86.407124942178058</v>
      </c>
      <c r="K405" s="36" t="str">
        <f t="shared" si="33"/>
        <v>Dairy|700to900</v>
      </c>
      <c r="L405" s="27"/>
      <c r="M405" s="27"/>
      <c r="N405" s="27"/>
      <c r="O405" s="27"/>
      <c r="P405" s="124"/>
    </row>
    <row r="406" spans="2:16" x14ac:dyDescent="0.2">
      <c r="B406" s="123"/>
      <c r="C406" s="165" t="s">
        <v>253</v>
      </c>
      <c r="D406" s="165" t="s">
        <v>241</v>
      </c>
      <c r="E406" s="165" t="b">
        <v>1</v>
      </c>
      <c r="F406" s="165" t="s">
        <v>232</v>
      </c>
      <c r="G406" s="165" t="s">
        <v>234</v>
      </c>
      <c r="H406" s="41" t="str">
        <f t="shared" si="32"/>
        <v>Arun and Western Streams|Dairy|TRUE|700to900|DrainedAr</v>
      </c>
      <c r="I406" s="119">
        <v>0.92860150251283202</v>
      </c>
      <c r="J406" s="44">
        <v>85.496006971469086</v>
      </c>
      <c r="K406" s="36" t="str">
        <f t="shared" si="33"/>
        <v>Dairy|700to900</v>
      </c>
      <c r="L406" s="27"/>
      <c r="M406" s="27"/>
      <c r="N406" s="27"/>
      <c r="O406" s="27"/>
      <c r="P406" s="124"/>
    </row>
    <row r="407" spans="2:16" x14ac:dyDescent="0.2">
      <c r="B407" s="123"/>
      <c r="C407" s="165" t="s">
        <v>253</v>
      </c>
      <c r="D407" s="165" t="s">
        <v>241</v>
      </c>
      <c r="E407" s="165" t="b">
        <v>0</v>
      </c>
      <c r="F407" s="165" t="s">
        <v>232</v>
      </c>
      <c r="G407" s="165" t="s">
        <v>235</v>
      </c>
      <c r="H407" s="41" t="str">
        <f t="shared" si="32"/>
        <v>Arun and Western Streams|Dairy|FALSE|700to900|DrainedArGr</v>
      </c>
      <c r="I407" s="119">
        <v>3.0812312032323543</v>
      </c>
      <c r="J407" s="44">
        <v>51.060088399512672</v>
      </c>
      <c r="K407" s="36" t="str">
        <f t="shared" si="33"/>
        <v>Dairy|700to900</v>
      </c>
      <c r="L407" s="27"/>
      <c r="M407" s="27"/>
      <c r="N407" s="27"/>
      <c r="O407" s="27"/>
      <c r="P407" s="124"/>
    </row>
    <row r="408" spans="2:16" x14ac:dyDescent="0.2">
      <c r="B408" s="123"/>
      <c r="C408" s="165" t="s">
        <v>253</v>
      </c>
      <c r="D408" s="165" t="s">
        <v>241</v>
      </c>
      <c r="E408" s="165" t="b">
        <v>1</v>
      </c>
      <c r="F408" s="165" t="s">
        <v>232</v>
      </c>
      <c r="G408" s="165" t="s">
        <v>235</v>
      </c>
      <c r="H408" s="41" t="str">
        <f t="shared" si="32"/>
        <v>Arun and Western Streams|Dairy|TRUE|700to900|DrainedArGr</v>
      </c>
      <c r="I408" s="119">
        <v>2.999086011204867</v>
      </c>
      <c r="J408" s="44">
        <v>50.000327575546052</v>
      </c>
      <c r="K408" s="36" t="str">
        <f t="shared" si="33"/>
        <v>Dairy|700to900</v>
      </c>
      <c r="L408" s="27"/>
      <c r="M408" s="27"/>
      <c r="N408" s="27"/>
      <c r="O408" s="27"/>
      <c r="P408" s="124"/>
    </row>
    <row r="409" spans="2:16" x14ac:dyDescent="0.2">
      <c r="B409" s="123"/>
      <c r="C409" s="165" t="s">
        <v>253</v>
      </c>
      <c r="D409" s="165" t="s">
        <v>241</v>
      </c>
      <c r="E409" s="165" t="b">
        <v>0</v>
      </c>
      <c r="F409" s="165" t="s">
        <v>236</v>
      </c>
      <c r="G409" s="165" t="s">
        <v>233</v>
      </c>
      <c r="H409" s="41" t="str">
        <f t="shared" si="32"/>
        <v>Arun and Western Streams|Dairy|FALSE|900to1200|FreeDrain</v>
      </c>
      <c r="I409" s="119">
        <v>0.67044566655781024</v>
      </c>
      <c r="J409" s="44">
        <v>118.8779507517678</v>
      </c>
      <c r="K409" s="36" t="str">
        <f t="shared" si="33"/>
        <v>Dairy|900to1200</v>
      </c>
      <c r="L409" s="27"/>
      <c r="M409" s="27"/>
      <c r="N409" s="27"/>
      <c r="O409" s="27"/>
      <c r="P409" s="124"/>
    </row>
    <row r="410" spans="2:16" x14ac:dyDescent="0.2">
      <c r="B410" s="123"/>
      <c r="C410" s="165" t="s">
        <v>253</v>
      </c>
      <c r="D410" s="165" t="s">
        <v>241</v>
      </c>
      <c r="E410" s="165" t="b">
        <v>1</v>
      </c>
      <c r="F410" s="165" t="s">
        <v>236</v>
      </c>
      <c r="G410" s="165" t="s">
        <v>233</v>
      </c>
      <c r="H410" s="41" t="str">
        <f t="shared" si="32"/>
        <v>Arun and Western Streams|Dairy|TRUE|900to1200|FreeDrain</v>
      </c>
      <c r="I410" s="119">
        <v>0.66446103923585942</v>
      </c>
      <c r="J410" s="44">
        <v>117.71880643090348</v>
      </c>
      <c r="K410" s="36" t="str">
        <f t="shared" si="33"/>
        <v>Dairy|900to1200</v>
      </c>
      <c r="L410" s="27"/>
      <c r="M410" s="27"/>
      <c r="N410" s="27"/>
      <c r="O410" s="27"/>
      <c r="P410" s="124"/>
    </row>
    <row r="411" spans="2:16" x14ac:dyDescent="0.2">
      <c r="B411" s="123"/>
      <c r="C411" s="165" t="s">
        <v>253</v>
      </c>
      <c r="D411" s="165" t="s">
        <v>241</v>
      </c>
      <c r="E411" s="165" t="b">
        <v>0</v>
      </c>
      <c r="F411" s="165" t="s">
        <v>236</v>
      </c>
      <c r="G411" s="165" t="s">
        <v>234</v>
      </c>
      <c r="H411" s="41" t="str">
        <f t="shared" si="32"/>
        <v>Arun and Western Streams|Dairy|FALSE|900to1200|DrainedAr</v>
      </c>
      <c r="I411" s="119">
        <v>1.6071123906017308</v>
      </c>
      <c r="J411" s="44">
        <v>109.0023299717988</v>
      </c>
      <c r="K411" s="36" t="str">
        <f t="shared" si="33"/>
        <v>Dairy|900to1200</v>
      </c>
      <c r="L411" s="27"/>
      <c r="M411" s="27"/>
      <c r="N411" s="27"/>
      <c r="O411" s="27"/>
      <c r="P411" s="124"/>
    </row>
    <row r="412" spans="2:16" x14ac:dyDescent="0.2">
      <c r="B412" s="123"/>
      <c r="C412" s="165" t="s">
        <v>253</v>
      </c>
      <c r="D412" s="165" t="s">
        <v>241</v>
      </c>
      <c r="E412" s="165" t="b">
        <v>0</v>
      </c>
      <c r="F412" s="165" t="s">
        <v>236</v>
      </c>
      <c r="G412" s="165" t="s">
        <v>235</v>
      </c>
      <c r="H412" s="41" t="str">
        <f t="shared" si="32"/>
        <v>Arun and Western Streams|Dairy|FALSE|900to1200|DrainedArGr</v>
      </c>
      <c r="I412" s="119">
        <v>4.8007336297173397</v>
      </c>
      <c r="J412" s="44">
        <v>65.887701031377361</v>
      </c>
      <c r="K412" s="36" t="str">
        <f t="shared" si="33"/>
        <v>Dairy|900to1200</v>
      </c>
      <c r="L412" s="27"/>
      <c r="M412" s="27"/>
      <c r="N412" s="27"/>
      <c r="O412" s="27"/>
      <c r="P412" s="124"/>
    </row>
    <row r="413" spans="2:16" x14ac:dyDescent="0.2">
      <c r="B413" s="123"/>
      <c r="C413" s="165" t="s">
        <v>253</v>
      </c>
      <c r="D413" s="165" t="s">
        <v>242</v>
      </c>
      <c r="E413" s="165" t="b">
        <v>1</v>
      </c>
      <c r="F413" s="165" t="s">
        <v>252</v>
      </c>
      <c r="G413" s="165" t="s">
        <v>234</v>
      </c>
      <c r="H413" s="41" t="str">
        <f t="shared" si="32"/>
        <v>Arun and Western Streams|Lowland|TRUE|600to700|DrainedAr</v>
      </c>
      <c r="I413" s="119">
        <v>6.1166181919516074E-2</v>
      </c>
      <c r="J413" s="44">
        <v>4.6100509795871938</v>
      </c>
      <c r="K413" s="36" t="str">
        <f t="shared" si="33"/>
        <v>Lowland|600to700</v>
      </c>
      <c r="L413" s="27"/>
      <c r="M413" s="27"/>
      <c r="N413" s="27"/>
      <c r="O413" s="27"/>
      <c r="P413" s="124"/>
    </row>
    <row r="414" spans="2:16" x14ac:dyDescent="0.2">
      <c r="B414" s="123"/>
      <c r="C414" s="165" t="s">
        <v>253</v>
      </c>
      <c r="D414" s="165" t="s">
        <v>242</v>
      </c>
      <c r="E414" s="165" t="b">
        <v>0</v>
      </c>
      <c r="F414" s="165" t="s">
        <v>232</v>
      </c>
      <c r="G414" s="165" t="s">
        <v>233</v>
      </c>
      <c r="H414" s="41" t="str">
        <f t="shared" si="32"/>
        <v>Arun and Western Streams|Lowland|FALSE|700to900|FreeDrain</v>
      </c>
      <c r="I414" s="119">
        <v>6.913263514302842E-2</v>
      </c>
      <c r="J414" s="44">
        <v>9.3182801191867792</v>
      </c>
      <c r="K414" s="36" t="str">
        <f t="shared" si="33"/>
        <v>Lowland|700to900</v>
      </c>
      <c r="L414" s="27"/>
      <c r="M414" s="27"/>
      <c r="N414" s="27"/>
      <c r="O414" s="27"/>
      <c r="P414" s="124"/>
    </row>
    <row r="415" spans="2:16" x14ac:dyDescent="0.2">
      <c r="B415" s="123"/>
      <c r="C415" s="165" t="s">
        <v>253</v>
      </c>
      <c r="D415" s="165" t="s">
        <v>242</v>
      </c>
      <c r="E415" s="165" t="b">
        <v>1</v>
      </c>
      <c r="F415" s="165" t="s">
        <v>232</v>
      </c>
      <c r="G415" s="165" t="s">
        <v>233</v>
      </c>
      <c r="H415" s="41" t="str">
        <f t="shared" si="32"/>
        <v>Arun and Western Streams|Lowland|TRUE|700to900|FreeDrain</v>
      </c>
      <c r="I415" s="119">
        <v>6.9132475077775202E-2</v>
      </c>
      <c r="J415" s="44">
        <v>9.2630437670442394</v>
      </c>
      <c r="K415" s="36" t="str">
        <f t="shared" si="33"/>
        <v>Lowland|700to900</v>
      </c>
      <c r="L415" s="27"/>
      <c r="M415" s="27"/>
      <c r="N415" s="27"/>
      <c r="O415" s="27"/>
      <c r="P415" s="124"/>
    </row>
    <row r="416" spans="2:16" x14ac:dyDescent="0.2">
      <c r="B416" s="123"/>
      <c r="C416" s="165" t="s">
        <v>253</v>
      </c>
      <c r="D416" s="165" t="s">
        <v>242</v>
      </c>
      <c r="E416" s="165" t="b">
        <v>0</v>
      </c>
      <c r="F416" s="165" t="s">
        <v>232</v>
      </c>
      <c r="G416" s="165" t="s">
        <v>234</v>
      </c>
      <c r="H416" s="41" t="str">
        <f t="shared" si="32"/>
        <v>Arun and Western Streams|Lowland|FALSE|700to900|DrainedAr</v>
      </c>
      <c r="I416" s="119">
        <v>0.11437934322122535</v>
      </c>
      <c r="J416" s="44">
        <v>7.2572666445101142</v>
      </c>
      <c r="K416" s="36" t="str">
        <f t="shared" si="33"/>
        <v>Lowland|700to900</v>
      </c>
      <c r="L416" s="27"/>
      <c r="M416" s="27"/>
      <c r="N416" s="27"/>
      <c r="O416" s="27"/>
      <c r="P416" s="124"/>
    </row>
    <row r="417" spans="2:16" x14ac:dyDescent="0.2">
      <c r="B417" s="123"/>
      <c r="C417" s="165" t="s">
        <v>253</v>
      </c>
      <c r="D417" s="165" t="s">
        <v>242</v>
      </c>
      <c r="E417" s="165" t="b">
        <v>1</v>
      </c>
      <c r="F417" s="165" t="s">
        <v>232</v>
      </c>
      <c r="G417" s="165" t="s">
        <v>234</v>
      </c>
      <c r="H417" s="41" t="str">
        <f t="shared" si="32"/>
        <v>Arun and Western Streams|Lowland|TRUE|700to900|DrainedAr</v>
      </c>
      <c r="I417" s="119">
        <v>0.11437914463259762</v>
      </c>
      <c r="J417" s="44">
        <v>7.2150970502038003</v>
      </c>
      <c r="K417" s="36" t="str">
        <f t="shared" si="33"/>
        <v>Lowland|700to900</v>
      </c>
      <c r="L417" s="27"/>
      <c r="M417" s="27"/>
      <c r="N417" s="27"/>
      <c r="O417" s="27"/>
      <c r="P417" s="124"/>
    </row>
    <row r="418" spans="2:16" x14ac:dyDescent="0.2">
      <c r="B418" s="123"/>
      <c r="C418" s="165" t="s">
        <v>253</v>
      </c>
      <c r="D418" s="165" t="s">
        <v>242</v>
      </c>
      <c r="E418" s="165" t="b">
        <v>0</v>
      </c>
      <c r="F418" s="165" t="s">
        <v>232</v>
      </c>
      <c r="G418" s="165" t="s">
        <v>235</v>
      </c>
      <c r="H418" s="41" t="str">
        <f t="shared" si="32"/>
        <v>Arun and Western Streams|Lowland|FALSE|700to900|DrainedArGr</v>
      </c>
      <c r="I418" s="119">
        <v>0.42981762016905106</v>
      </c>
      <c r="J418" s="44">
        <v>5.3222390701549571</v>
      </c>
      <c r="K418" s="36" t="str">
        <f t="shared" si="33"/>
        <v>Lowland|700to900</v>
      </c>
      <c r="L418" s="27"/>
      <c r="M418" s="27"/>
      <c r="N418" s="27"/>
      <c r="O418" s="27"/>
      <c r="P418" s="124"/>
    </row>
    <row r="419" spans="2:16" x14ac:dyDescent="0.2">
      <c r="B419" s="123"/>
      <c r="C419" s="165" t="s">
        <v>253</v>
      </c>
      <c r="D419" s="165" t="s">
        <v>242</v>
      </c>
      <c r="E419" s="165" t="b">
        <v>1</v>
      </c>
      <c r="F419" s="165" t="s">
        <v>232</v>
      </c>
      <c r="G419" s="165" t="s">
        <v>235</v>
      </c>
      <c r="H419" s="41" t="str">
        <f t="shared" ref="H419:H482" si="34">C419&amp;"|"&amp;D419&amp;"|"&amp;E419&amp;"|"&amp;F419&amp;"|"&amp;G419</f>
        <v>Arun and Western Streams|Lowland|TRUE|700to900|DrainedArGr</v>
      </c>
      <c r="I419" s="119">
        <v>0.42979712736302422</v>
      </c>
      <c r="J419" s="44">
        <v>5.3097391857959382</v>
      </c>
      <c r="K419" s="36" t="str">
        <f t="shared" si="33"/>
        <v>Lowland|700to900</v>
      </c>
      <c r="L419" s="27"/>
      <c r="M419" s="27"/>
      <c r="N419" s="27"/>
      <c r="O419" s="27"/>
      <c r="P419" s="124"/>
    </row>
    <row r="420" spans="2:16" x14ac:dyDescent="0.2">
      <c r="B420" s="123"/>
      <c r="C420" s="165" t="s">
        <v>253</v>
      </c>
      <c r="D420" s="165" t="s">
        <v>242</v>
      </c>
      <c r="E420" s="165" t="b">
        <v>0</v>
      </c>
      <c r="F420" s="165" t="s">
        <v>236</v>
      </c>
      <c r="G420" s="165" t="s">
        <v>233</v>
      </c>
      <c r="H420" s="41" t="str">
        <f t="shared" si="34"/>
        <v>Arun and Western Streams|Lowland|FALSE|900to1200|FreeDrain</v>
      </c>
      <c r="I420" s="119">
        <v>0.1112806956334461</v>
      </c>
      <c r="J420" s="44">
        <v>9.9844123633859994</v>
      </c>
      <c r="K420" s="36" t="str">
        <f t="shared" ref="K420:K483" si="35">D420&amp;"|"&amp;F420&amp;""</f>
        <v>Lowland|900to1200</v>
      </c>
      <c r="L420" s="27"/>
      <c r="M420" s="27"/>
      <c r="N420" s="27"/>
      <c r="O420" s="27"/>
      <c r="P420" s="124"/>
    </row>
    <row r="421" spans="2:16" x14ac:dyDescent="0.2">
      <c r="B421" s="123"/>
      <c r="C421" s="165" t="s">
        <v>253</v>
      </c>
      <c r="D421" s="165" t="s">
        <v>242</v>
      </c>
      <c r="E421" s="165" t="b">
        <v>1</v>
      </c>
      <c r="F421" s="165" t="s">
        <v>236</v>
      </c>
      <c r="G421" s="165" t="s">
        <v>233</v>
      </c>
      <c r="H421" s="41" t="str">
        <f t="shared" si="34"/>
        <v>Arun and Western Streams|Lowland|TRUE|900to1200|FreeDrain</v>
      </c>
      <c r="I421" s="119">
        <v>0.11128049124588592</v>
      </c>
      <c r="J421" s="44">
        <v>9.9280708872974284</v>
      </c>
      <c r="K421" s="36" t="str">
        <f t="shared" si="35"/>
        <v>Lowland|900to1200</v>
      </c>
      <c r="L421" s="27"/>
      <c r="M421" s="27"/>
      <c r="N421" s="27"/>
      <c r="O421" s="27"/>
      <c r="P421" s="124"/>
    </row>
    <row r="422" spans="2:16" x14ac:dyDescent="0.2">
      <c r="B422" s="123"/>
      <c r="C422" s="165" t="s">
        <v>253</v>
      </c>
      <c r="D422" s="165" t="s">
        <v>242</v>
      </c>
      <c r="E422" s="165" t="b">
        <v>0</v>
      </c>
      <c r="F422" s="165" t="s">
        <v>236</v>
      </c>
      <c r="G422" s="165" t="s">
        <v>234</v>
      </c>
      <c r="H422" s="41" t="str">
        <f t="shared" si="34"/>
        <v>Arun and Western Streams|Lowland|FALSE|900to1200|DrainedAr</v>
      </c>
      <c r="I422" s="119">
        <v>0.20214247349135422</v>
      </c>
      <c r="J422" s="44">
        <v>9.2825575760399808</v>
      </c>
      <c r="K422" s="36" t="str">
        <f t="shared" si="35"/>
        <v>Lowland|900to1200</v>
      </c>
      <c r="L422" s="27"/>
      <c r="M422" s="27"/>
      <c r="N422" s="27"/>
      <c r="O422" s="27"/>
      <c r="P422" s="124"/>
    </row>
    <row r="423" spans="2:16" x14ac:dyDescent="0.2">
      <c r="B423" s="123"/>
      <c r="C423" s="165" t="s">
        <v>253</v>
      </c>
      <c r="D423" s="165" t="s">
        <v>242</v>
      </c>
      <c r="E423" s="165" t="b">
        <v>1</v>
      </c>
      <c r="F423" s="165" t="s">
        <v>236</v>
      </c>
      <c r="G423" s="165" t="s">
        <v>234</v>
      </c>
      <c r="H423" s="41" t="str">
        <f t="shared" si="34"/>
        <v>Arun and Western Streams|Lowland|TRUE|900to1200|DrainedAr</v>
      </c>
      <c r="I423" s="119">
        <v>0.2021422116266306</v>
      </c>
      <c r="J423" s="44">
        <v>9.2317257775787915</v>
      </c>
      <c r="K423" s="36" t="str">
        <f t="shared" si="35"/>
        <v>Lowland|900to1200</v>
      </c>
      <c r="L423" s="27"/>
      <c r="M423" s="27"/>
      <c r="N423" s="27"/>
      <c r="O423" s="27"/>
      <c r="P423" s="124"/>
    </row>
    <row r="424" spans="2:16" x14ac:dyDescent="0.2">
      <c r="B424" s="123"/>
      <c r="C424" s="165" t="s">
        <v>253</v>
      </c>
      <c r="D424" s="165" t="s">
        <v>242</v>
      </c>
      <c r="E424" s="165" t="b">
        <v>0</v>
      </c>
      <c r="F424" s="165" t="s">
        <v>236</v>
      </c>
      <c r="G424" s="165" t="s">
        <v>235</v>
      </c>
      <c r="H424" s="41" t="str">
        <f t="shared" si="34"/>
        <v>Arun and Western Streams|Lowland|FALSE|900to1200|DrainedArGr</v>
      </c>
      <c r="I424" s="119">
        <v>0.73247295761886777</v>
      </c>
      <c r="J424" s="44">
        <v>7.0694372651450266</v>
      </c>
      <c r="K424" s="36" t="str">
        <f t="shared" si="35"/>
        <v>Lowland|900to1200</v>
      </c>
      <c r="L424" s="27"/>
      <c r="M424" s="27"/>
      <c r="N424" s="27"/>
      <c r="O424" s="27"/>
      <c r="P424" s="124"/>
    </row>
    <row r="425" spans="2:16" x14ac:dyDescent="0.2">
      <c r="B425" s="123"/>
      <c r="C425" s="165" t="s">
        <v>253</v>
      </c>
      <c r="D425" s="165" t="s">
        <v>242</v>
      </c>
      <c r="E425" s="165" t="b">
        <v>1</v>
      </c>
      <c r="F425" s="165" t="s">
        <v>236</v>
      </c>
      <c r="G425" s="165" t="s">
        <v>235</v>
      </c>
      <c r="H425" s="41" t="str">
        <f t="shared" si="34"/>
        <v>Arun and Western Streams|Lowland|TRUE|900to1200|DrainedArGr</v>
      </c>
      <c r="I425" s="119">
        <v>0.73244688600304142</v>
      </c>
      <c r="J425" s="44">
        <v>7.056338964403448</v>
      </c>
      <c r="K425" s="36" t="str">
        <f t="shared" si="35"/>
        <v>Lowland|900to1200</v>
      </c>
      <c r="L425" s="27"/>
      <c r="M425" s="27"/>
      <c r="N425" s="27"/>
      <c r="O425" s="27"/>
      <c r="P425" s="124"/>
    </row>
    <row r="426" spans="2:16" x14ac:dyDescent="0.2">
      <c r="B426" s="123"/>
      <c r="C426" s="165" t="s">
        <v>253</v>
      </c>
      <c r="D426" s="165" t="s">
        <v>242</v>
      </c>
      <c r="E426" s="165" t="b">
        <v>1</v>
      </c>
      <c r="F426" s="165" t="s">
        <v>244</v>
      </c>
      <c r="G426" s="165" t="s">
        <v>234</v>
      </c>
      <c r="H426" s="41" t="str">
        <f t="shared" si="34"/>
        <v>Arun and Western Streams|Lowland|TRUE|Over1500|DrainedAr</v>
      </c>
      <c r="I426" s="119">
        <v>0.43147837204501571</v>
      </c>
      <c r="J426" s="44">
        <v>11.704296814974397</v>
      </c>
      <c r="K426" s="36" t="str">
        <f t="shared" si="35"/>
        <v>Lowland|Over1500</v>
      </c>
      <c r="L426" s="27"/>
      <c r="M426" s="27"/>
      <c r="N426" s="27"/>
      <c r="O426" s="27"/>
      <c r="P426" s="124"/>
    </row>
    <row r="427" spans="2:16" x14ac:dyDescent="0.2">
      <c r="B427" s="123"/>
      <c r="C427" s="165" t="s">
        <v>253</v>
      </c>
      <c r="D427" s="165" t="s">
        <v>243</v>
      </c>
      <c r="E427" s="165" t="b">
        <v>1</v>
      </c>
      <c r="F427" s="165" t="s">
        <v>232</v>
      </c>
      <c r="G427" s="165" t="s">
        <v>233</v>
      </c>
      <c r="H427" s="41" t="str">
        <f t="shared" si="34"/>
        <v>Arun and Western Streams|Mixed|TRUE|700to900|FreeDrain</v>
      </c>
      <c r="I427" s="119">
        <v>0.21596430668982175</v>
      </c>
      <c r="J427" s="44">
        <v>39.594803928408226</v>
      </c>
      <c r="K427" s="36" t="str">
        <f t="shared" si="35"/>
        <v>Mixed|700to900</v>
      </c>
      <c r="L427" s="27"/>
      <c r="M427" s="27"/>
      <c r="N427" s="27"/>
      <c r="O427" s="27"/>
      <c r="P427" s="124"/>
    </row>
    <row r="428" spans="2:16" x14ac:dyDescent="0.2">
      <c r="B428" s="123"/>
      <c r="C428" s="165" t="s">
        <v>253</v>
      </c>
      <c r="D428" s="165" t="s">
        <v>243</v>
      </c>
      <c r="E428" s="165" t="b">
        <v>0</v>
      </c>
      <c r="F428" s="165" t="s">
        <v>232</v>
      </c>
      <c r="G428" s="165" t="s">
        <v>234</v>
      </c>
      <c r="H428" s="41" t="str">
        <f t="shared" si="34"/>
        <v>Arun and Western Streams|Mixed|FALSE|700to900|DrainedAr</v>
      </c>
      <c r="I428" s="119">
        <v>0.76531892247206645</v>
      </c>
      <c r="J428" s="44">
        <v>30.441285623924827</v>
      </c>
      <c r="K428" s="36" t="str">
        <f t="shared" si="35"/>
        <v>Mixed|700to900</v>
      </c>
      <c r="L428" s="27"/>
      <c r="M428" s="27"/>
      <c r="N428" s="27"/>
      <c r="O428" s="27"/>
      <c r="P428" s="124"/>
    </row>
    <row r="429" spans="2:16" x14ac:dyDescent="0.2">
      <c r="B429" s="123"/>
      <c r="C429" s="165" t="s">
        <v>253</v>
      </c>
      <c r="D429" s="165" t="s">
        <v>243</v>
      </c>
      <c r="E429" s="165" t="b">
        <v>1</v>
      </c>
      <c r="F429" s="165" t="s">
        <v>232</v>
      </c>
      <c r="G429" s="165" t="s">
        <v>234</v>
      </c>
      <c r="H429" s="41" t="str">
        <f t="shared" si="34"/>
        <v>Arun and Western Streams|Mixed|TRUE|700to900|DrainedAr</v>
      </c>
      <c r="I429" s="119">
        <v>0.76255158723251015</v>
      </c>
      <c r="J429" s="44">
        <v>30.140569577986497</v>
      </c>
      <c r="K429" s="36" t="str">
        <f t="shared" si="35"/>
        <v>Mixed|700to900</v>
      </c>
      <c r="L429" s="27"/>
      <c r="M429" s="27"/>
      <c r="N429" s="27"/>
      <c r="O429" s="27"/>
      <c r="P429" s="124"/>
    </row>
    <row r="430" spans="2:16" x14ac:dyDescent="0.2">
      <c r="B430" s="123"/>
      <c r="C430" s="165" t="s">
        <v>253</v>
      </c>
      <c r="D430" s="165" t="s">
        <v>243</v>
      </c>
      <c r="E430" s="165" t="b">
        <v>0</v>
      </c>
      <c r="F430" s="165" t="s">
        <v>232</v>
      </c>
      <c r="G430" s="165" t="s">
        <v>235</v>
      </c>
      <c r="H430" s="41" t="str">
        <f t="shared" si="34"/>
        <v>Arun and Western Streams|Mixed|FALSE|700to900|DrainedArGr</v>
      </c>
      <c r="I430" s="119">
        <v>1.4215399581959169</v>
      </c>
      <c r="J430" s="44">
        <v>25.509048613032629</v>
      </c>
      <c r="K430" s="36" t="str">
        <f t="shared" si="35"/>
        <v>Mixed|700to900</v>
      </c>
      <c r="L430" s="27"/>
      <c r="M430" s="27"/>
      <c r="N430" s="27"/>
      <c r="O430" s="27"/>
      <c r="P430" s="124"/>
    </row>
    <row r="431" spans="2:16" x14ac:dyDescent="0.2">
      <c r="B431" s="123"/>
      <c r="C431" s="165" t="s">
        <v>253</v>
      </c>
      <c r="D431" s="165" t="s">
        <v>243</v>
      </c>
      <c r="E431" s="165" t="b">
        <v>1</v>
      </c>
      <c r="F431" s="165" t="s">
        <v>232</v>
      </c>
      <c r="G431" s="165" t="s">
        <v>235</v>
      </c>
      <c r="H431" s="41" t="str">
        <f t="shared" si="34"/>
        <v>Arun and Western Streams|Mixed|TRUE|700to900|DrainedArGr</v>
      </c>
      <c r="I431" s="119">
        <v>1.4157493115060871</v>
      </c>
      <c r="J431" s="44">
        <v>25.186188695302956</v>
      </c>
      <c r="K431" s="36" t="str">
        <f t="shared" si="35"/>
        <v>Mixed|700to900</v>
      </c>
      <c r="L431" s="27"/>
      <c r="M431" s="27"/>
      <c r="N431" s="27"/>
      <c r="O431" s="27"/>
      <c r="P431" s="124"/>
    </row>
    <row r="432" spans="2:16" x14ac:dyDescent="0.2">
      <c r="B432" s="123"/>
      <c r="C432" s="165" t="s">
        <v>253</v>
      </c>
      <c r="D432" s="165" t="s">
        <v>243</v>
      </c>
      <c r="E432" s="165" t="b">
        <v>0</v>
      </c>
      <c r="F432" s="165" t="s">
        <v>236</v>
      </c>
      <c r="G432" s="165" t="s">
        <v>233</v>
      </c>
      <c r="H432" s="41" t="str">
        <f t="shared" si="34"/>
        <v>Arun and Western Streams|Mixed|FALSE|900to1200|FreeDrain</v>
      </c>
      <c r="I432" s="119">
        <v>0.36992003697952136</v>
      </c>
      <c r="J432" s="44">
        <v>42.320280915525416</v>
      </c>
      <c r="K432" s="36" t="str">
        <f t="shared" si="35"/>
        <v>Mixed|900to1200</v>
      </c>
      <c r="L432" s="27"/>
      <c r="M432" s="27"/>
      <c r="N432" s="27"/>
      <c r="O432" s="27"/>
      <c r="P432" s="124"/>
    </row>
    <row r="433" spans="2:16" x14ac:dyDescent="0.2">
      <c r="B433" s="123"/>
      <c r="C433" s="165" t="s">
        <v>253</v>
      </c>
      <c r="D433" s="165" t="s">
        <v>243</v>
      </c>
      <c r="E433" s="165" t="b">
        <v>1</v>
      </c>
      <c r="F433" s="165" t="s">
        <v>236</v>
      </c>
      <c r="G433" s="165" t="s">
        <v>233</v>
      </c>
      <c r="H433" s="41" t="str">
        <f t="shared" si="34"/>
        <v>Arun and Western Streams|Mixed|TRUE|900to1200|FreeDrain</v>
      </c>
      <c r="I433" s="119">
        <v>0.36933961140831989</v>
      </c>
      <c r="J433" s="44">
        <v>42.111506500169369</v>
      </c>
      <c r="K433" s="36" t="str">
        <f t="shared" si="35"/>
        <v>Mixed|900to1200</v>
      </c>
      <c r="L433" s="27"/>
      <c r="M433" s="27"/>
      <c r="N433" s="27"/>
      <c r="O433" s="27"/>
      <c r="P433" s="124"/>
    </row>
    <row r="434" spans="2:16" x14ac:dyDescent="0.2">
      <c r="B434" s="123"/>
      <c r="C434" s="165" t="s">
        <v>253</v>
      </c>
      <c r="D434" s="165" t="s">
        <v>243</v>
      </c>
      <c r="E434" s="165" t="b">
        <v>0</v>
      </c>
      <c r="F434" s="165" t="s">
        <v>236</v>
      </c>
      <c r="G434" s="165" t="s">
        <v>234</v>
      </c>
      <c r="H434" s="41" t="str">
        <f t="shared" si="34"/>
        <v>Arun and Western Streams|Mixed|FALSE|900to1200|DrainedAr</v>
      </c>
      <c r="I434" s="119">
        <v>1.4294730918096661</v>
      </c>
      <c r="J434" s="44">
        <v>38.380875112030381</v>
      </c>
      <c r="K434" s="36" t="str">
        <f t="shared" si="35"/>
        <v>Mixed|900to1200</v>
      </c>
      <c r="L434" s="27"/>
      <c r="M434" s="27"/>
      <c r="N434" s="27"/>
      <c r="O434" s="27"/>
      <c r="P434" s="124"/>
    </row>
    <row r="435" spans="2:16" x14ac:dyDescent="0.2">
      <c r="B435" s="123"/>
      <c r="C435" s="165" t="s">
        <v>253</v>
      </c>
      <c r="D435" s="165" t="s">
        <v>243</v>
      </c>
      <c r="E435" s="165" t="b">
        <v>1</v>
      </c>
      <c r="F435" s="165" t="s">
        <v>236</v>
      </c>
      <c r="G435" s="165" t="s">
        <v>234</v>
      </c>
      <c r="H435" s="41" t="str">
        <f t="shared" si="34"/>
        <v>Arun and Western Streams|Mixed|TRUE|900to1200|DrainedAr</v>
      </c>
      <c r="I435" s="119">
        <v>1.4258956459414212</v>
      </c>
      <c r="J435" s="44">
        <v>38.003675521037607</v>
      </c>
      <c r="K435" s="36" t="str">
        <f t="shared" si="35"/>
        <v>Mixed|900to1200</v>
      </c>
      <c r="L435" s="27"/>
      <c r="M435" s="27"/>
      <c r="N435" s="27"/>
      <c r="O435" s="27"/>
      <c r="P435" s="124"/>
    </row>
    <row r="436" spans="2:16" x14ac:dyDescent="0.2">
      <c r="B436" s="123"/>
      <c r="C436" s="165" t="s">
        <v>253</v>
      </c>
      <c r="D436" s="165" t="s">
        <v>243</v>
      </c>
      <c r="E436" s="165" t="b">
        <v>0</v>
      </c>
      <c r="F436" s="165" t="s">
        <v>236</v>
      </c>
      <c r="G436" s="165" t="s">
        <v>235</v>
      </c>
      <c r="H436" s="41" t="str">
        <f t="shared" si="34"/>
        <v>Arun and Western Streams|Mixed|FALSE|900to1200|DrainedArGr</v>
      </c>
      <c r="I436" s="119">
        <v>2.3277398858902147</v>
      </c>
      <c r="J436" s="44">
        <v>30.334175329834739</v>
      </c>
      <c r="K436" s="36" t="str">
        <f t="shared" si="35"/>
        <v>Mixed|900to1200</v>
      </c>
      <c r="L436" s="27"/>
      <c r="M436" s="27"/>
      <c r="N436" s="27"/>
      <c r="O436" s="27"/>
      <c r="P436" s="124"/>
    </row>
    <row r="437" spans="2:16" x14ac:dyDescent="0.2">
      <c r="B437" s="123"/>
      <c r="C437" s="165" t="s">
        <v>253</v>
      </c>
      <c r="D437" s="165" t="s">
        <v>243</v>
      </c>
      <c r="E437" s="165" t="b">
        <v>1</v>
      </c>
      <c r="F437" s="165" t="s">
        <v>236</v>
      </c>
      <c r="G437" s="165" t="s">
        <v>235</v>
      </c>
      <c r="H437" s="41" t="str">
        <f t="shared" si="34"/>
        <v>Arun and Western Streams|Mixed|TRUE|900to1200|DrainedArGr</v>
      </c>
      <c r="I437" s="119">
        <v>2.3206424884790127</v>
      </c>
      <c r="J437" s="44">
        <v>29.955295900074336</v>
      </c>
      <c r="K437" s="36" t="str">
        <f t="shared" si="35"/>
        <v>Mixed|900to1200</v>
      </c>
      <c r="L437" s="27"/>
      <c r="M437" s="27"/>
      <c r="N437" s="27"/>
      <c r="O437" s="27"/>
      <c r="P437" s="124"/>
    </row>
    <row r="438" spans="2:16" x14ac:dyDescent="0.2">
      <c r="B438" s="123"/>
      <c r="C438" s="165" t="s">
        <v>254</v>
      </c>
      <c r="D438" s="165" t="s">
        <v>117</v>
      </c>
      <c r="E438" s="165" t="b">
        <v>0</v>
      </c>
      <c r="F438" s="165" t="s">
        <v>232</v>
      </c>
      <c r="G438" s="165" t="s">
        <v>233</v>
      </c>
      <c r="H438" s="41" t="str">
        <f t="shared" si="34"/>
        <v>East Hampshire|Cereals|FALSE|700to900|FreeDrain</v>
      </c>
      <c r="I438" s="119">
        <v>0.11456588009512729</v>
      </c>
      <c r="J438" s="44">
        <v>27.990887574890436</v>
      </c>
      <c r="K438" s="36" t="str">
        <f t="shared" si="35"/>
        <v>Cereals|700to900</v>
      </c>
      <c r="L438" s="27"/>
      <c r="M438" s="27"/>
      <c r="N438" s="27"/>
      <c r="O438" s="27"/>
      <c r="P438" s="124"/>
    </row>
    <row r="439" spans="2:16" x14ac:dyDescent="0.2">
      <c r="B439" s="123"/>
      <c r="C439" s="165" t="s">
        <v>254</v>
      </c>
      <c r="D439" s="165" t="s">
        <v>117</v>
      </c>
      <c r="E439" s="165" t="b">
        <v>1</v>
      </c>
      <c r="F439" s="165" t="s">
        <v>232</v>
      </c>
      <c r="G439" s="165" t="s">
        <v>233</v>
      </c>
      <c r="H439" s="41" t="str">
        <f t="shared" si="34"/>
        <v>East Hampshire|Cereals|TRUE|700to900|FreeDrain</v>
      </c>
      <c r="I439" s="119">
        <v>0.11456142286061059</v>
      </c>
      <c r="J439" s="44">
        <v>27.899458788256236</v>
      </c>
      <c r="K439" s="36" t="str">
        <f t="shared" si="35"/>
        <v>Cereals|700to900</v>
      </c>
      <c r="L439" s="27"/>
      <c r="M439" s="27"/>
      <c r="N439" s="27"/>
      <c r="O439" s="27"/>
      <c r="P439" s="124"/>
    </row>
    <row r="440" spans="2:16" x14ac:dyDescent="0.2">
      <c r="B440" s="123"/>
      <c r="C440" s="165" t="s">
        <v>254</v>
      </c>
      <c r="D440" s="165" t="s">
        <v>117</v>
      </c>
      <c r="E440" s="165" t="b">
        <v>0</v>
      </c>
      <c r="F440" s="165" t="s">
        <v>232</v>
      </c>
      <c r="G440" s="165" t="s">
        <v>234</v>
      </c>
      <c r="H440" s="41" t="str">
        <f t="shared" si="34"/>
        <v>East Hampshire|Cereals|FALSE|700to900|DrainedAr</v>
      </c>
      <c r="I440" s="119">
        <v>0.67117444084536992</v>
      </c>
      <c r="J440" s="44">
        <v>21.581702500799278</v>
      </c>
      <c r="K440" s="36" t="str">
        <f t="shared" si="35"/>
        <v>Cereals|700to900</v>
      </c>
      <c r="L440" s="27"/>
      <c r="M440" s="27"/>
      <c r="N440" s="27"/>
      <c r="O440" s="27"/>
      <c r="P440" s="124"/>
    </row>
    <row r="441" spans="2:16" x14ac:dyDescent="0.2">
      <c r="B441" s="123"/>
      <c r="C441" s="165" t="s">
        <v>254</v>
      </c>
      <c r="D441" s="165" t="s">
        <v>117</v>
      </c>
      <c r="E441" s="165" t="b">
        <v>1</v>
      </c>
      <c r="F441" s="165" t="s">
        <v>232</v>
      </c>
      <c r="G441" s="165" t="s">
        <v>234</v>
      </c>
      <c r="H441" s="41" t="str">
        <f t="shared" si="34"/>
        <v>East Hampshire|Cereals|TRUE|700to900|DrainedAr</v>
      </c>
      <c r="I441" s="119">
        <v>0.67113456008169381</v>
      </c>
      <c r="J441" s="44">
        <v>21.519559389177825</v>
      </c>
      <c r="K441" s="36" t="str">
        <f t="shared" si="35"/>
        <v>Cereals|700to900</v>
      </c>
      <c r="L441" s="27"/>
      <c r="M441" s="27"/>
      <c r="N441" s="27"/>
      <c r="O441" s="27"/>
      <c r="P441" s="124"/>
    </row>
    <row r="442" spans="2:16" x14ac:dyDescent="0.2">
      <c r="B442" s="123"/>
      <c r="C442" s="165" t="s">
        <v>254</v>
      </c>
      <c r="D442" s="165" t="s">
        <v>117</v>
      </c>
      <c r="E442" s="165" t="b">
        <v>0</v>
      </c>
      <c r="F442" s="165" t="s">
        <v>232</v>
      </c>
      <c r="G442" s="165" t="s">
        <v>235</v>
      </c>
      <c r="H442" s="41" t="str">
        <f t="shared" si="34"/>
        <v>East Hampshire|Cereals|FALSE|700to900|DrainedArGr</v>
      </c>
      <c r="I442" s="119">
        <v>0.9192086440389482</v>
      </c>
      <c r="J442" s="44">
        <v>20.175420952397761</v>
      </c>
      <c r="K442" s="36" t="str">
        <f t="shared" si="35"/>
        <v>Cereals|700to900</v>
      </c>
      <c r="L442" s="27"/>
      <c r="M442" s="27"/>
      <c r="N442" s="27"/>
      <c r="O442" s="27"/>
      <c r="P442" s="124"/>
    </row>
    <row r="443" spans="2:16" x14ac:dyDescent="0.2">
      <c r="B443" s="123"/>
      <c r="C443" s="165" t="s">
        <v>254</v>
      </c>
      <c r="D443" s="165" t="s">
        <v>117</v>
      </c>
      <c r="E443" s="165" t="b">
        <v>1</v>
      </c>
      <c r="F443" s="165" t="s">
        <v>232</v>
      </c>
      <c r="G443" s="165" t="s">
        <v>235</v>
      </c>
      <c r="H443" s="41" t="str">
        <f t="shared" si="34"/>
        <v>East Hampshire|Cereals|TRUE|700to900|DrainedArGr</v>
      </c>
      <c r="I443" s="119">
        <v>0.91912828670754343</v>
      </c>
      <c r="J443" s="44">
        <v>20.124892876175753</v>
      </c>
      <c r="K443" s="36" t="str">
        <f t="shared" si="35"/>
        <v>Cereals|700to900</v>
      </c>
      <c r="L443" s="27"/>
      <c r="M443" s="27"/>
      <c r="N443" s="27"/>
      <c r="O443" s="27"/>
      <c r="P443" s="124"/>
    </row>
    <row r="444" spans="2:16" x14ac:dyDescent="0.2">
      <c r="B444" s="123"/>
      <c r="C444" s="165" t="s">
        <v>254</v>
      </c>
      <c r="D444" s="165" t="s">
        <v>117</v>
      </c>
      <c r="E444" s="165" t="b">
        <v>1</v>
      </c>
      <c r="F444" s="165" t="s">
        <v>236</v>
      </c>
      <c r="G444" s="165" t="s">
        <v>233</v>
      </c>
      <c r="H444" s="41" t="str">
        <f t="shared" si="34"/>
        <v>East Hampshire|Cereals|TRUE|900to1200|FreeDrain</v>
      </c>
      <c r="I444" s="119">
        <v>0.20048838438273373</v>
      </c>
      <c r="J444" s="44">
        <v>29.658019607265381</v>
      </c>
      <c r="K444" s="36" t="str">
        <f t="shared" si="35"/>
        <v>Cereals|900to1200</v>
      </c>
      <c r="L444" s="27"/>
      <c r="M444" s="27"/>
      <c r="N444" s="27"/>
      <c r="O444" s="27"/>
      <c r="P444" s="124"/>
    </row>
    <row r="445" spans="2:16" x14ac:dyDescent="0.2">
      <c r="B445" s="123"/>
      <c r="C445" s="165" t="s">
        <v>254</v>
      </c>
      <c r="D445" s="165" t="s">
        <v>237</v>
      </c>
      <c r="E445" s="165" t="b">
        <v>0</v>
      </c>
      <c r="F445" s="165" t="s">
        <v>232</v>
      </c>
      <c r="G445" s="165" t="s">
        <v>233</v>
      </c>
      <c r="H445" s="41" t="str">
        <f t="shared" si="34"/>
        <v>East Hampshire|General|FALSE|700to900|FreeDrain</v>
      </c>
      <c r="I445" s="119">
        <v>8.8365006288437298E-2</v>
      </c>
      <c r="J445" s="44">
        <v>19.149038880599786</v>
      </c>
      <c r="K445" s="36" t="str">
        <f t="shared" si="35"/>
        <v>General|700to900</v>
      </c>
      <c r="L445" s="27"/>
      <c r="M445" s="27"/>
      <c r="N445" s="27"/>
      <c r="O445" s="27"/>
      <c r="P445" s="124"/>
    </row>
    <row r="446" spans="2:16" x14ac:dyDescent="0.2">
      <c r="B446" s="123"/>
      <c r="C446" s="165" t="s">
        <v>254</v>
      </c>
      <c r="D446" s="165" t="s">
        <v>237</v>
      </c>
      <c r="E446" s="165" t="b">
        <v>1</v>
      </c>
      <c r="F446" s="165" t="s">
        <v>232</v>
      </c>
      <c r="G446" s="165" t="s">
        <v>233</v>
      </c>
      <c r="H446" s="41" t="str">
        <f t="shared" si="34"/>
        <v>East Hampshire|General|TRUE|700to900|FreeDrain</v>
      </c>
      <c r="I446" s="119">
        <v>8.8365006288437298E-2</v>
      </c>
      <c r="J446" s="44">
        <v>19.095674437067196</v>
      </c>
      <c r="K446" s="36" t="str">
        <f t="shared" si="35"/>
        <v>General|700to900</v>
      </c>
      <c r="L446" s="27"/>
      <c r="M446" s="27"/>
      <c r="N446" s="27"/>
      <c r="O446" s="27"/>
      <c r="P446" s="124"/>
    </row>
    <row r="447" spans="2:16" x14ac:dyDescent="0.2">
      <c r="B447" s="123"/>
      <c r="C447" s="165" t="s">
        <v>254</v>
      </c>
      <c r="D447" s="165" t="s">
        <v>237</v>
      </c>
      <c r="E447" s="165" t="b">
        <v>0</v>
      </c>
      <c r="F447" s="165" t="s">
        <v>232</v>
      </c>
      <c r="G447" s="165" t="s">
        <v>234</v>
      </c>
      <c r="H447" s="41" t="str">
        <f t="shared" si="34"/>
        <v>East Hampshire|General|FALSE|700to900|DrainedAr</v>
      </c>
      <c r="I447" s="119">
        <v>0.43848198164270902</v>
      </c>
      <c r="J447" s="44">
        <v>14.375747235642322</v>
      </c>
      <c r="K447" s="36" t="str">
        <f t="shared" si="35"/>
        <v>General|700to900</v>
      </c>
      <c r="L447" s="27"/>
      <c r="M447" s="27"/>
      <c r="N447" s="27"/>
      <c r="O447" s="27"/>
      <c r="P447" s="124"/>
    </row>
    <row r="448" spans="2:16" x14ac:dyDescent="0.2">
      <c r="B448" s="123"/>
      <c r="C448" s="165" t="s">
        <v>254</v>
      </c>
      <c r="D448" s="165" t="s">
        <v>237</v>
      </c>
      <c r="E448" s="165" t="b">
        <v>1</v>
      </c>
      <c r="F448" s="165" t="s">
        <v>232</v>
      </c>
      <c r="G448" s="165" t="s">
        <v>234</v>
      </c>
      <c r="H448" s="41" t="str">
        <f t="shared" si="34"/>
        <v>East Hampshire|General|TRUE|700to900|DrainedAr</v>
      </c>
      <c r="I448" s="119">
        <v>0.43848198164270902</v>
      </c>
      <c r="J448" s="44">
        <v>14.340472375669346</v>
      </c>
      <c r="K448" s="36" t="str">
        <f t="shared" si="35"/>
        <v>General|700to900</v>
      </c>
      <c r="L448" s="27"/>
      <c r="M448" s="27"/>
      <c r="N448" s="27"/>
      <c r="O448" s="27"/>
      <c r="P448" s="124"/>
    </row>
    <row r="449" spans="2:16" x14ac:dyDescent="0.2">
      <c r="B449" s="123"/>
      <c r="C449" s="165" t="s">
        <v>254</v>
      </c>
      <c r="D449" s="165" t="s">
        <v>237</v>
      </c>
      <c r="E449" s="165" t="b">
        <v>0</v>
      </c>
      <c r="F449" s="165" t="s">
        <v>232</v>
      </c>
      <c r="G449" s="165" t="s">
        <v>235</v>
      </c>
      <c r="H449" s="41" t="str">
        <f t="shared" si="34"/>
        <v>East Hampshire|General|FALSE|700to900|DrainedArGr</v>
      </c>
      <c r="I449" s="119">
        <v>0.68161365036912347</v>
      </c>
      <c r="J449" s="44">
        <v>12.951162350473613</v>
      </c>
      <c r="K449" s="36" t="str">
        <f t="shared" si="35"/>
        <v>General|700to900</v>
      </c>
      <c r="L449" s="27"/>
      <c r="M449" s="27"/>
      <c r="N449" s="27"/>
      <c r="O449" s="27"/>
      <c r="P449" s="124"/>
    </row>
    <row r="450" spans="2:16" x14ac:dyDescent="0.2">
      <c r="B450" s="123"/>
      <c r="C450" s="165" t="s">
        <v>254</v>
      </c>
      <c r="D450" s="165" t="s">
        <v>237</v>
      </c>
      <c r="E450" s="165" t="b">
        <v>1</v>
      </c>
      <c r="F450" s="165" t="s">
        <v>232</v>
      </c>
      <c r="G450" s="165" t="s">
        <v>235</v>
      </c>
      <c r="H450" s="41" t="str">
        <f t="shared" si="34"/>
        <v>East Hampshire|General|TRUE|700to900|DrainedArGr</v>
      </c>
      <c r="I450" s="119">
        <v>0.68161365036912347</v>
      </c>
      <c r="J450" s="44">
        <v>12.923069887999709</v>
      </c>
      <c r="K450" s="36" t="str">
        <f t="shared" si="35"/>
        <v>General|700to900</v>
      </c>
      <c r="L450" s="27"/>
      <c r="M450" s="27"/>
      <c r="N450" s="27"/>
      <c r="O450" s="27"/>
      <c r="P450" s="124"/>
    </row>
    <row r="451" spans="2:16" x14ac:dyDescent="0.2">
      <c r="B451" s="123"/>
      <c r="C451" s="165" t="s">
        <v>254</v>
      </c>
      <c r="D451" s="165" t="s">
        <v>237</v>
      </c>
      <c r="E451" s="165" t="b">
        <v>1</v>
      </c>
      <c r="F451" s="165" t="s">
        <v>236</v>
      </c>
      <c r="G451" s="165" t="s">
        <v>233</v>
      </c>
      <c r="H451" s="41" t="str">
        <f t="shared" si="34"/>
        <v>East Hampshire|General|TRUE|900to1200|FreeDrain</v>
      </c>
      <c r="I451" s="119">
        <v>0.15719479537637043</v>
      </c>
      <c r="J451" s="44">
        <v>20.414320011495242</v>
      </c>
      <c r="K451" s="36" t="str">
        <f t="shared" si="35"/>
        <v>General|900to1200</v>
      </c>
      <c r="L451" s="27"/>
      <c r="M451" s="27"/>
      <c r="N451" s="27"/>
      <c r="O451" s="27"/>
      <c r="P451" s="124"/>
    </row>
    <row r="452" spans="2:16" x14ac:dyDescent="0.2">
      <c r="B452" s="123"/>
      <c r="C452" s="165" t="s">
        <v>254</v>
      </c>
      <c r="D452" s="165" t="s">
        <v>237</v>
      </c>
      <c r="E452" s="165" t="b">
        <v>1</v>
      </c>
      <c r="F452" s="165" t="s">
        <v>236</v>
      </c>
      <c r="G452" s="165" t="s">
        <v>234</v>
      </c>
      <c r="H452" s="41" t="str">
        <f t="shared" si="34"/>
        <v>East Hampshire|General|TRUE|900to1200|DrainedAr</v>
      </c>
      <c r="I452" s="119">
        <v>0.83772454958749187</v>
      </c>
      <c r="J452" s="44">
        <v>18.27446807814713</v>
      </c>
      <c r="K452" s="36" t="str">
        <f t="shared" si="35"/>
        <v>General|900to1200</v>
      </c>
      <c r="L452" s="27"/>
      <c r="M452" s="27"/>
      <c r="N452" s="27"/>
      <c r="O452" s="27"/>
      <c r="P452" s="124"/>
    </row>
    <row r="453" spans="2:16" x14ac:dyDescent="0.2">
      <c r="B453" s="123"/>
      <c r="C453" s="165" t="s">
        <v>254</v>
      </c>
      <c r="D453" s="165" t="s">
        <v>238</v>
      </c>
      <c r="E453" s="165" t="b">
        <v>0</v>
      </c>
      <c r="F453" s="165" t="s">
        <v>232</v>
      </c>
      <c r="G453" s="165" t="s">
        <v>233</v>
      </c>
      <c r="H453" s="41" t="str">
        <f t="shared" si="34"/>
        <v>East Hampshire|Horticulture|FALSE|700to900|FreeDrain</v>
      </c>
      <c r="I453" s="119">
        <v>0.10041419337720751</v>
      </c>
      <c r="J453" s="44">
        <v>21.277809899250418</v>
      </c>
      <c r="K453" s="36" t="str">
        <f t="shared" si="35"/>
        <v>Horticulture|700to900</v>
      </c>
      <c r="L453" s="27"/>
      <c r="M453" s="27"/>
      <c r="N453" s="27"/>
      <c r="O453" s="27"/>
      <c r="P453" s="124"/>
    </row>
    <row r="454" spans="2:16" x14ac:dyDescent="0.2">
      <c r="B454" s="123"/>
      <c r="C454" s="165" t="s">
        <v>254</v>
      </c>
      <c r="D454" s="165" t="s">
        <v>238</v>
      </c>
      <c r="E454" s="165" t="b">
        <v>1</v>
      </c>
      <c r="F454" s="165" t="s">
        <v>232</v>
      </c>
      <c r="G454" s="165" t="s">
        <v>233</v>
      </c>
      <c r="H454" s="41" t="str">
        <f t="shared" si="34"/>
        <v>East Hampshire|Horticulture|TRUE|700to900|FreeDrain</v>
      </c>
      <c r="I454" s="119">
        <v>0.10041419337720751</v>
      </c>
      <c r="J454" s="44">
        <v>21.220312337706829</v>
      </c>
      <c r="K454" s="36" t="str">
        <f t="shared" si="35"/>
        <v>Horticulture|700to900</v>
      </c>
      <c r="L454" s="27"/>
      <c r="M454" s="27"/>
      <c r="N454" s="27"/>
      <c r="O454" s="27"/>
      <c r="P454" s="124"/>
    </row>
    <row r="455" spans="2:16" x14ac:dyDescent="0.2">
      <c r="B455" s="123"/>
      <c r="C455" s="165" t="s">
        <v>254</v>
      </c>
      <c r="D455" s="165" t="s">
        <v>238</v>
      </c>
      <c r="E455" s="165" t="b">
        <v>1</v>
      </c>
      <c r="F455" s="165" t="s">
        <v>232</v>
      </c>
      <c r="G455" s="165" t="s">
        <v>234</v>
      </c>
      <c r="H455" s="41" t="str">
        <f t="shared" si="34"/>
        <v>East Hampshire|Horticulture|TRUE|700to900|DrainedAr</v>
      </c>
      <c r="I455" s="119">
        <v>0.5784821852020896</v>
      </c>
      <c r="J455" s="44">
        <v>15.440383961803446</v>
      </c>
      <c r="K455" s="36" t="str">
        <f t="shared" si="35"/>
        <v>Horticulture|700to900</v>
      </c>
      <c r="L455" s="27"/>
      <c r="M455" s="27"/>
      <c r="N455" s="27"/>
      <c r="O455" s="27"/>
      <c r="P455" s="124"/>
    </row>
    <row r="456" spans="2:16" x14ac:dyDescent="0.2">
      <c r="B456" s="123"/>
      <c r="C456" s="165" t="s">
        <v>254</v>
      </c>
      <c r="D456" s="165" t="s">
        <v>238</v>
      </c>
      <c r="E456" s="165" t="b">
        <v>0</v>
      </c>
      <c r="F456" s="165" t="s">
        <v>232</v>
      </c>
      <c r="G456" s="165" t="s">
        <v>235</v>
      </c>
      <c r="H456" s="41" t="str">
        <f t="shared" si="34"/>
        <v>East Hampshire|Horticulture|FALSE|700to900|DrainedArGr</v>
      </c>
      <c r="I456" s="119">
        <v>0.8244383040222506</v>
      </c>
      <c r="J456" s="44">
        <v>13.756609535201328</v>
      </c>
      <c r="K456" s="36" t="str">
        <f t="shared" si="35"/>
        <v>Horticulture|700to900</v>
      </c>
      <c r="L456" s="27"/>
      <c r="M456" s="27"/>
      <c r="N456" s="27"/>
      <c r="O456" s="27"/>
      <c r="P456" s="124"/>
    </row>
    <row r="457" spans="2:16" x14ac:dyDescent="0.2">
      <c r="B457" s="123"/>
      <c r="C457" s="165" t="s">
        <v>254</v>
      </c>
      <c r="D457" s="165" t="s">
        <v>238</v>
      </c>
      <c r="E457" s="165" t="b">
        <v>1</v>
      </c>
      <c r="F457" s="165" t="s">
        <v>232</v>
      </c>
      <c r="G457" s="165" t="s">
        <v>235</v>
      </c>
      <c r="H457" s="41" t="str">
        <f t="shared" si="34"/>
        <v>East Hampshire|Horticulture|TRUE|700to900|DrainedArGr</v>
      </c>
      <c r="I457" s="119">
        <v>0.8244383040222506</v>
      </c>
      <c r="J457" s="44">
        <v>13.726284705948382</v>
      </c>
      <c r="K457" s="36" t="str">
        <f t="shared" si="35"/>
        <v>Horticulture|700to900</v>
      </c>
      <c r="L457" s="27"/>
      <c r="M457" s="27"/>
      <c r="N457" s="27"/>
      <c r="O457" s="27"/>
      <c r="P457" s="124"/>
    </row>
    <row r="458" spans="2:16" x14ac:dyDescent="0.2">
      <c r="B458" s="123"/>
      <c r="C458" s="165" t="s">
        <v>254</v>
      </c>
      <c r="D458" s="165" t="s">
        <v>238</v>
      </c>
      <c r="E458" s="165" t="b">
        <v>1</v>
      </c>
      <c r="F458" s="165" t="s">
        <v>236</v>
      </c>
      <c r="G458" s="165" t="s">
        <v>233</v>
      </c>
      <c r="H458" s="41" t="str">
        <f t="shared" si="34"/>
        <v>East Hampshire|Horticulture|TRUE|900to1200|FreeDrain</v>
      </c>
      <c r="I458" s="119">
        <v>0.18195427546119297</v>
      </c>
      <c r="J458" s="44">
        <v>22.922977303242899</v>
      </c>
      <c r="K458" s="36" t="str">
        <f t="shared" si="35"/>
        <v>Horticulture|900to1200</v>
      </c>
      <c r="L458" s="27"/>
      <c r="M458" s="27"/>
      <c r="N458" s="27"/>
      <c r="O458" s="27"/>
      <c r="P458" s="124"/>
    </row>
    <row r="459" spans="2:16" x14ac:dyDescent="0.2">
      <c r="B459" s="123"/>
      <c r="C459" s="165" t="s">
        <v>254</v>
      </c>
      <c r="D459" s="165" t="s">
        <v>239</v>
      </c>
      <c r="E459" s="165" t="b">
        <v>0</v>
      </c>
      <c r="F459" s="165" t="s">
        <v>232</v>
      </c>
      <c r="G459" s="165" t="s">
        <v>233</v>
      </c>
      <c r="H459" s="41" t="str">
        <f t="shared" si="34"/>
        <v>East Hampshire|Pig|FALSE|700to900|FreeDrain</v>
      </c>
      <c r="I459" s="119">
        <v>0.11744157539638946</v>
      </c>
      <c r="J459" s="44">
        <v>61.761369643014319</v>
      </c>
      <c r="K459" s="36" t="str">
        <f t="shared" si="35"/>
        <v>Pig|700to900</v>
      </c>
      <c r="L459" s="27"/>
      <c r="M459" s="27"/>
      <c r="N459" s="27"/>
      <c r="O459" s="27"/>
      <c r="P459" s="124"/>
    </row>
    <row r="460" spans="2:16" x14ac:dyDescent="0.2">
      <c r="B460" s="123"/>
      <c r="C460" s="165" t="s">
        <v>254</v>
      </c>
      <c r="D460" s="165" t="s">
        <v>239</v>
      </c>
      <c r="E460" s="165" t="b">
        <v>1</v>
      </c>
      <c r="F460" s="165" t="s">
        <v>232</v>
      </c>
      <c r="G460" s="165" t="s">
        <v>233</v>
      </c>
      <c r="H460" s="41" t="str">
        <f t="shared" si="34"/>
        <v>East Hampshire|Pig|TRUE|700to900|FreeDrain</v>
      </c>
      <c r="I460" s="119">
        <v>0.11523515684515383</v>
      </c>
      <c r="J460" s="44">
        <v>61.681237569272319</v>
      </c>
      <c r="K460" s="36" t="str">
        <f t="shared" si="35"/>
        <v>Pig|700to900</v>
      </c>
      <c r="L460" s="27"/>
      <c r="M460" s="27"/>
      <c r="N460" s="27"/>
      <c r="O460" s="27"/>
      <c r="P460" s="124"/>
    </row>
    <row r="461" spans="2:16" x14ac:dyDescent="0.2">
      <c r="B461" s="123"/>
      <c r="C461" s="165" t="s">
        <v>254</v>
      </c>
      <c r="D461" s="165" t="s">
        <v>239</v>
      </c>
      <c r="E461" s="165" t="b">
        <v>1</v>
      </c>
      <c r="F461" s="165" t="s">
        <v>232</v>
      </c>
      <c r="G461" s="165" t="s">
        <v>234</v>
      </c>
      <c r="H461" s="41" t="str">
        <f t="shared" si="34"/>
        <v>East Hampshire|Pig|TRUE|700to900|DrainedAr</v>
      </c>
      <c r="I461" s="119">
        <v>0.59104311448588942</v>
      </c>
      <c r="J461" s="44">
        <v>42.533113890618111</v>
      </c>
      <c r="K461" s="36" t="str">
        <f t="shared" si="35"/>
        <v>Pig|700to900</v>
      </c>
      <c r="L461" s="27"/>
      <c r="M461" s="27"/>
      <c r="N461" s="27"/>
      <c r="O461" s="27"/>
      <c r="P461" s="124"/>
    </row>
    <row r="462" spans="2:16" x14ac:dyDescent="0.2">
      <c r="B462" s="123"/>
      <c r="C462" s="165" t="s">
        <v>254</v>
      </c>
      <c r="D462" s="165" t="s">
        <v>239</v>
      </c>
      <c r="E462" s="165" t="b">
        <v>0</v>
      </c>
      <c r="F462" s="165" t="s">
        <v>232</v>
      </c>
      <c r="G462" s="165" t="s">
        <v>235</v>
      </c>
      <c r="H462" s="41" t="str">
        <f t="shared" si="34"/>
        <v>East Hampshire|Pig|FALSE|700to900|DrainedArGr</v>
      </c>
      <c r="I462" s="119">
        <v>0.97583229712183761</v>
      </c>
      <c r="J462" s="44">
        <v>36.746735753264403</v>
      </c>
      <c r="K462" s="36" t="str">
        <f t="shared" si="35"/>
        <v>Pig|700to900</v>
      </c>
      <c r="L462" s="27"/>
      <c r="M462" s="27"/>
      <c r="N462" s="27"/>
      <c r="O462" s="27"/>
      <c r="P462" s="124"/>
    </row>
    <row r="463" spans="2:16" x14ac:dyDescent="0.2">
      <c r="B463" s="123"/>
      <c r="C463" s="165" t="s">
        <v>254</v>
      </c>
      <c r="D463" s="165" t="s">
        <v>239</v>
      </c>
      <c r="E463" s="165" t="b">
        <v>1</v>
      </c>
      <c r="F463" s="165" t="s">
        <v>232</v>
      </c>
      <c r="G463" s="165" t="s">
        <v>235</v>
      </c>
      <c r="H463" s="41" t="str">
        <f t="shared" si="34"/>
        <v>East Hampshire|Pig|TRUE|700to900|DrainedArGr</v>
      </c>
      <c r="I463" s="119">
        <v>0.9428517707403623</v>
      </c>
      <c r="J463" s="44">
        <v>35.022519445531344</v>
      </c>
      <c r="K463" s="36" t="str">
        <f t="shared" si="35"/>
        <v>Pig|700to900</v>
      </c>
      <c r="L463" s="27"/>
      <c r="M463" s="27"/>
      <c r="N463" s="27"/>
      <c r="O463" s="27"/>
      <c r="P463" s="124"/>
    </row>
    <row r="464" spans="2:16" x14ac:dyDescent="0.2">
      <c r="B464" s="123"/>
      <c r="C464" s="165" t="s">
        <v>254</v>
      </c>
      <c r="D464" s="165" t="s">
        <v>240</v>
      </c>
      <c r="E464" s="165" t="b">
        <v>0</v>
      </c>
      <c r="F464" s="165" t="s">
        <v>232</v>
      </c>
      <c r="G464" s="165" t="s">
        <v>233</v>
      </c>
      <c r="H464" s="41" t="str">
        <f t="shared" si="34"/>
        <v>East Hampshire|Poultry|FALSE|700to900|FreeDrain</v>
      </c>
      <c r="I464" s="119">
        <v>0.12570748437605758</v>
      </c>
      <c r="J464" s="44">
        <v>130.07633583793788</v>
      </c>
      <c r="K464" s="36" t="str">
        <f t="shared" si="35"/>
        <v>Poultry|700to900</v>
      </c>
      <c r="L464" s="27"/>
      <c r="M464" s="27"/>
      <c r="N464" s="27"/>
      <c r="O464" s="27"/>
      <c r="P464" s="124"/>
    </row>
    <row r="465" spans="2:16" x14ac:dyDescent="0.2">
      <c r="B465" s="123"/>
      <c r="C465" s="165" t="s">
        <v>254</v>
      </c>
      <c r="D465" s="165" t="s">
        <v>240</v>
      </c>
      <c r="E465" s="165" t="b">
        <v>1</v>
      </c>
      <c r="F465" s="165" t="s">
        <v>232</v>
      </c>
      <c r="G465" s="165" t="s">
        <v>233</v>
      </c>
      <c r="H465" s="41" t="str">
        <f t="shared" si="34"/>
        <v>East Hampshire|Poultry|TRUE|700to900|FreeDrain</v>
      </c>
      <c r="I465" s="119">
        <v>0.12284299353261552</v>
      </c>
      <c r="J465" s="44">
        <v>130.60672419181711</v>
      </c>
      <c r="K465" s="36" t="str">
        <f t="shared" si="35"/>
        <v>Poultry|700to900</v>
      </c>
      <c r="L465" s="27"/>
      <c r="M465" s="27"/>
      <c r="N465" s="27"/>
      <c r="O465" s="27"/>
      <c r="P465" s="124"/>
    </row>
    <row r="466" spans="2:16" x14ac:dyDescent="0.2">
      <c r="B466" s="123"/>
      <c r="C466" s="165" t="s">
        <v>254</v>
      </c>
      <c r="D466" s="165" t="s">
        <v>240</v>
      </c>
      <c r="E466" s="165" t="b">
        <v>1</v>
      </c>
      <c r="F466" s="165" t="s">
        <v>232</v>
      </c>
      <c r="G466" s="165" t="s">
        <v>235</v>
      </c>
      <c r="H466" s="41" t="str">
        <f t="shared" si="34"/>
        <v>East Hampshire|Poultry|TRUE|700to900|DrainedArGr</v>
      </c>
      <c r="I466" s="119">
        <v>0.82116634703432512</v>
      </c>
      <c r="J466" s="44">
        <v>67.621935306271794</v>
      </c>
      <c r="K466" s="36" t="str">
        <f t="shared" si="35"/>
        <v>Poultry|700to900</v>
      </c>
      <c r="L466" s="27"/>
      <c r="M466" s="27"/>
      <c r="N466" s="27"/>
      <c r="O466" s="27"/>
      <c r="P466" s="124"/>
    </row>
    <row r="467" spans="2:16" x14ac:dyDescent="0.2">
      <c r="B467" s="123"/>
      <c r="C467" s="165" t="s">
        <v>254</v>
      </c>
      <c r="D467" s="165" t="s">
        <v>240</v>
      </c>
      <c r="E467" s="165" t="b">
        <v>1</v>
      </c>
      <c r="F467" s="165" t="s">
        <v>236</v>
      </c>
      <c r="G467" s="165" t="s">
        <v>233</v>
      </c>
      <c r="H467" s="41" t="str">
        <f t="shared" si="34"/>
        <v>East Hampshire|Poultry|TRUE|900to1200|FreeDrain</v>
      </c>
      <c r="I467" s="119">
        <v>0.19577820801888998</v>
      </c>
      <c r="J467" s="44">
        <v>136.88733208039841</v>
      </c>
      <c r="K467" s="36" t="str">
        <f t="shared" si="35"/>
        <v>Poultry|900to1200</v>
      </c>
      <c r="L467" s="27"/>
      <c r="M467" s="27"/>
      <c r="N467" s="27"/>
      <c r="O467" s="27"/>
      <c r="P467" s="124"/>
    </row>
    <row r="468" spans="2:16" x14ac:dyDescent="0.2">
      <c r="B468" s="123"/>
      <c r="C468" s="165" t="s">
        <v>254</v>
      </c>
      <c r="D468" s="165" t="s">
        <v>241</v>
      </c>
      <c r="E468" s="165" t="b">
        <v>1</v>
      </c>
      <c r="F468" s="165" t="s">
        <v>232</v>
      </c>
      <c r="G468" s="165" t="s">
        <v>233</v>
      </c>
      <c r="H468" s="41" t="str">
        <f t="shared" si="34"/>
        <v>East Hampshire|Dairy|TRUE|700to900|FreeDrain</v>
      </c>
      <c r="I468" s="119">
        <v>0.13126195136163726</v>
      </c>
      <c r="J468" s="44">
        <v>43.4374530449536</v>
      </c>
      <c r="K468" s="36" t="str">
        <f t="shared" si="35"/>
        <v>Dairy|700to900</v>
      </c>
      <c r="L468" s="27"/>
      <c r="M468" s="27"/>
      <c r="N468" s="27"/>
      <c r="O468" s="27"/>
      <c r="P468" s="124"/>
    </row>
    <row r="469" spans="2:16" x14ac:dyDescent="0.2">
      <c r="B469" s="123"/>
      <c r="C469" s="165" t="s">
        <v>254</v>
      </c>
      <c r="D469" s="165" t="s">
        <v>241</v>
      </c>
      <c r="E469" s="165" t="b">
        <v>1</v>
      </c>
      <c r="F469" s="165" t="s">
        <v>232</v>
      </c>
      <c r="G469" s="165" t="s">
        <v>235</v>
      </c>
      <c r="H469" s="41" t="str">
        <f t="shared" si="34"/>
        <v>East Hampshire|Dairy|TRUE|700to900|DrainedArGr</v>
      </c>
      <c r="I469" s="119">
        <v>1.1628537881106094</v>
      </c>
      <c r="J469" s="44">
        <v>19.514011337553555</v>
      </c>
      <c r="K469" s="36" t="str">
        <f t="shared" si="35"/>
        <v>Dairy|700to900</v>
      </c>
      <c r="L469" s="27"/>
      <c r="M469" s="27"/>
      <c r="N469" s="27"/>
      <c r="O469" s="27"/>
      <c r="P469" s="124"/>
    </row>
    <row r="470" spans="2:16" x14ac:dyDescent="0.2">
      <c r="B470" s="123"/>
      <c r="C470" s="165" t="s">
        <v>254</v>
      </c>
      <c r="D470" s="165" t="s">
        <v>241</v>
      </c>
      <c r="E470" s="165" t="b">
        <v>1</v>
      </c>
      <c r="F470" s="165" t="s">
        <v>236</v>
      </c>
      <c r="G470" s="165" t="s">
        <v>233</v>
      </c>
      <c r="H470" s="41" t="str">
        <f t="shared" si="34"/>
        <v>East Hampshire|Dairy|TRUE|900to1200|FreeDrain</v>
      </c>
      <c r="I470" s="119">
        <v>0.19800108002655881</v>
      </c>
      <c r="J470" s="44">
        <v>45.899472794159131</v>
      </c>
      <c r="K470" s="36" t="str">
        <f t="shared" si="35"/>
        <v>Dairy|900to1200</v>
      </c>
      <c r="L470" s="27"/>
      <c r="M470" s="27"/>
      <c r="N470" s="27"/>
      <c r="O470" s="27"/>
      <c r="P470" s="124"/>
    </row>
    <row r="471" spans="2:16" x14ac:dyDescent="0.2">
      <c r="B471" s="123"/>
      <c r="C471" s="165" t="s">
        <v>254</v>
      </c>
      <c r="D471" s="165" t="s">
        <v>242</v>
      </c>
      <c r="E471" s="165" t="b">
        <v>0</v>
      </c>
      <c r="F471" s="165" t="s">
        <v>232</v>
      </c>
      <c r="G471" s="165" t="s">
        <v>233</v>
      </c>
      <c r="H471" s="41" t="str">
        <f t="shared" si="34"/>
        <v>East Hampshire|Lowland|FALSE|700to900|FreeDrain</v>
      </c>
      <c r="I471" s="119">
        <v>7.5535002685031952E-2</v>
      </c>
      <c r="J471" s="44">
        <v>12.864642968493193</v>
      </c>
      <c r="K471" s="36" t="str">
        <f t="shared" si="35"/>
        <v>Lowland|700to900</v>
      </c>
      <c r="L471" s="27"/>
      <c r="M471" s="27"/>
      <c r="N471" s="27"/>
      <c r="O471" s="27"/>
      <c r="P471" s="124"/>
    </row>
    <row r="472" spans="2:16" x14ac:dyDescent="0.2">
      <c r="B472" s="123"/>
      <c r="C472" s="165" t="s">
        <v>254</v>
      </c>
      <c r="D472" s="165" t="s">
        <v>242</v>
      </c>
      <c r="E472" s="165" t="b">
        <v>1</v>
      </c>
      <c r="F472" s="165" t="s">
        <v>232</v>
      </c>
      <c r="G472" s="165" t="s">
        <v>233</v>
      </c>
      <c r="H472" s="41" t="str">
        <f t="shared" si="34"/>
        <v>East Hampshire|Lowland|TRUE|700to900|FreeDrain</v>
      </c>
      <c r="I472" s="119">
        <v>7.5534834657270053E-2</v>
      </c>
      <c r="J472" s="44">
        <v>12.783671985639412</v>
      </c>
      <c r="K472" s="36" t="str">
        <f t="shared" si="35"/>
        <v>Lowland|700to900</v>
      </c>
      <c r="L472" s="27"/>
      <c r="M472" s="27"/>
      <c r="N472" s="27"/>
      <c r="O472" s="27"/>
      <c r="P472" s="124"/>
    </row>
    <row r="473" spans="2:16" x14ac:dyDescent="0.2">
      <c r="B473" s="123"/>
      <c r="C473" s="165" t="s">
        <v>254</v>
      </c>
      <c r="D473" s="165" t="s">
        <v>242</v>
      </c>
      <c r="E473" s="165" t="b">
        <v>0</v>
      </c>
      <c r="F473" s="165" t="s">
        <v>232</v>
      </c>
      <c r="G473" s="165" t="s">
        <v>234</v>
      </c>
      <c r="H473" s="41" t="str">
        <f t="shared" si="34"/>
        <v>East Hampshire|Lowland|FALSE|700to900|DrainedAr</v>
      </c>
      <c r="I473" s="119">
        <v>0.18135129226771962</v>
      </c>
      <c r="J473" s="44">
        <v>9.9596158427006216</v>
      </c>
      <c r="K473" s="36" t="str">
        <f t="shared" si="35"/>
        <v>Lowland|700to900</v>
      </c>
      <c r="L473" s="27"/>
      <c r="M473" s="27"/>
      <c r="N473" s="27"/>
      <c r="O473" s="27"/>
      <c r="P473" s="124"/>
    </row>
    <row r="474" spans="2:16" x14ac:dyDescent="0.2">
      <c r="B474" s="123"/>
      <c r="C474" s="165" t="s">
        <v>254</v>
      </c>
      <c r="D474" s="165" t="s">
        <v>242</v>
      </c>
      <c r="E474" s="165" t="b">
        <v>1</v>
      </c>
      <c r="F474" s="165" t="s">
        <v>232</v>
      </c>
      <c r="G474" s="165" t="s">
        <v>234</v>
      </c>
      <c r="H474" s="41" t="str">
        <f t="shared" si="34"/>
        <v>East Hampshire|Lowland|TRUE|700to900|DrainedAr</v>
      </c>
      <c r="I474" s="119">
        <v>0.18135108380022286</v>
      </c>
      <c r="J474" s="44">
        <v>9.8979516842424058</v>
      </c>
      <c r="K474" s="36" t="str">
        <f t="shared" si="35"/>
        <v>Lowland|700to900</v>
      </c>
      <c r="L474" s="27"/>
      <c r="M474" s="27"/>
      <c r="N474" s="27"/>
      <c r="O474" s="27"/>
      <c r="P474" s="124"/>
    </row>
    <row r="475" spans="2:16" x14ac:dyDescent="0.2">
      <c r="B475" s="123"/>
      <c r="C475" s="165" t="s">
        <v>254</v>
      </c>
      <c r="D475" s="165" t="s">
        <v>242</v>
      </c>
      <c r="E475" s="165" t="b">
        <v>0</v>
      </c>
      <c r="F475" s="165" t="s">
        <v>232</v>
      </c>
      <c r="G475" s="165" t="s">
        <v>235</v>
      </c>
      <c r="H475" s="41" t="str">
        <f t="shared" si="34"/>
        <v>East Hampshire|Lowland|FALSE|700to900|DrainedArGr</v>
      </c>
      <c r="I475" s="119">
        <v>0.60318378398145056</v>
      </c>
      <c r="J475" s="44">
        <v>6.9856196484664714</v>
      </c>
      <c r="K475" s="36" t="str">
        <f t="shared" si="35"/>
        <v>Lowland|700to900</v>
      </c>
      <c r="L475" s="27"/>
      <c r="M475" s="27"/>
      <c r="N475" s="27"/>
      <c r="O475" s="27"/>
      <c r="P475" s="124"/>
    </row>
    <row r="476" spans="2:16" x14ac:dyDescent="0.2">
      <c r="B476" s="123"/>
      <c r="C476" s="165" t="s">
        <v>254</v>
      </c>
      <c r="D476" s="165" t="s">
        <v>242</v>
      </c>
      <c r="E476" s="165" t="b">
        <v>1</v>
      </c>
      <c r="F476" s="165" t="s">
        <v>232</v>
      </c>
      <c r="G476" s="165" t="s">
        <v>235</v>
      </c>
      <c r="H476" s="41" t="str">
        <f t="shared" si="34"/>
        <v>East Hampshire|Lowland|TRUE|700to900|DrainedArGr</v>
      </c>
      <c r="I476" s="119">
        <v>0.60315362733513977</v>
      </c>
      <c r="J476" s="44">
        <v>6.9670640157740955</v>
      </c>
      <c r="K476" s="36" t="str">
        <f t="shared" si="35"/>
        <v>Lowland|700to900</v>
      </c>
      <c r="L476" s="27"/>
      <c r="M476" s="27"/>
      <c r="N476" s="27"/>
      <c r="O476" s="27"/>
      <c r="P476" s="124"/>
    </row>
    <row r="477" spans="2:16" x14ac:dyDescent="0.2">
      <c r="B477" s="123"/>
      <c r="C477" s="165" t="s">
        <v>254</v>
      </c>
      <c r="D477" s="165" t="s">
        <v>242</v>
      </c>
      <c r="E477" s="165" t="b">
        <v>1</v>
      </c>
      <c r="F477" s="165" t="s">
        <v>236</v>
      </c>
      <c r="G477" s="165" t="s">
        <v>233</v>
      </c>
      <c r="H477" s="41" t="str">
        <f t="shared" si="34"/>
        <v>East Hampshire|Lowland|TRUE|900to1200|FreeDrain</v>
      </c>
      <c r="I477" s="119">
        <v>0.12466511555848805</v>
      </c>
      <c r="J477" s="44">
        <v>13.599099401678419</v>
      </c>
      <c r="K477" s="36" t="str">
        <f t="shared" si="35"/>
        <v>Lowland|900to1200</v>
      </c>
      <c r="L477" s="27"/>
      <c r="M477" s="27"/>
      <c r="N477" s="27"/>
      <c r="O477" s="27"/>
      <c r="P477" s="124"/>
    </row>
    <row r="478" spans="2:16" x14ac:dyDescent="0.2">
      <c r="B478" s="123"/>
      <c r="C478" s="165" t="s">
        <v>254</v>
      </c>
      <c r="D478" s="165" t="s">
        <v>242</v>
      </c>
      <c r="E478" s="165" t="b">
        <v>1</v>
      </c>
      <c r="F478" s="165" t="s">
        <v>236</v>
      </c>
      <c r="G478" s="165" t="s">
        <v>234</v>
      </c>
      <c r="H478" s="41" t="str">
        <f t="shared" si="34"/>
        <v>East Hampshire|Lowland|TRUE|900to1200|DrainedAr</v>
      </c>
      <c r="I478" s="119">
        <v>0.33001757389610831</v>
      </c>
      <c r="J478" s="44">
        <v>12.557478847381919</v>
      </c>
      <c r="K478" s="36" t="str">
        <f t="shared" si="35"/>
        <v>Lowland|900to1200</v>
      </c>
      <c r="L478" s="27"/>
      <c r="M478" s="27"/>
      <c r="N478" s="27"/>
      <c r="O478" s="27"/>
      <c r="P478" s="124"/>
    </row>
    <row r="479" spans="2:16" x14ac:dyDescent="0.2">
      <c r="B479" s="123"/>
      <c r="C479" s="165" t="s">
        <v>254</v>
      </c>
      <c r="D479" s="165" t="s">
        <v>243</v>
      </c>
      <c r="E479" s="165" t="b">
        <v>1</v>
      </c>
      <c r="F479" s="165" t="s">
        <v>232</v>
      </c>
      <c r="G479" s="165" t="s">
        <v>233</v>
      </c>
      <c r="H479" s="41" t="str">
        <f t="shared" si="34"/>
        <v>East Hampshire|Mixed|TRUE|700to900|FreeDrain</v>
      </c>
      <c r="I479" s="119">
        <v>0.10649413721173924</v>
      </c>
      <c r="J479" s="44">
        <v>24.751769636323463</v>
      </c>
      <c r="K479" s="36" t="str">
        <f t="shared" si="35"/>
        <v>Mixed|700to900</v>
      </c>
      <c r="L479" s="27"/>
      <c r="M479" s="27"/>
      <c r="N479" s="27"/>
      <c r="O479" s="27"/>
      <c r="P479" s="124"/>
    </row>
    <row r="480" spans="2:16" x14ac:dyDescent="0.2">
      <c r="B480" s="123"/>
      <c r="C480" s="165" t="s">
        <v>254</v>
      </c>
      <c r="D480" s="165" t="s">
        <v>243</v>
      </c>
      <c r="E480" s="165" t="b">
        <v>1</v>
      </c>
      <c r="F480" s="165" t="s">
        <v>232</v>
      </c>
      <c r="G480" s="165" t="s">
        <v>234</v>
      </c>
      <c r="H480" s="41" t="str">
        <f t="shared" si="34"/>
        <v>East Hampshire|Mixed|TRUE|700to900|DrainedAr</v>
      </c>
      <c r="I480" s="119">
        <v>0.50690876835946241</v>
      </c>
      <c r="J480" s="44">
        <v>19.025929109664808</v>
      </c>
      <c r="K480" s="36" t="str">
        <f t="shared" si="35"/>
        <v>Mixed|700to900</v>
      </c>
      <c r="L480" s="27"/>
      <c r="M480" s="27"/>
      <c r="N480" s="27"/>
      <c r="O480" s="27"/>
      <c r="P480" s="124"/>
    </row>
    <row r="481" spans="2:16" x14ac:dyDescent="0.2">
      <c r="B481" s="123"/>
      <c r="C481" s="165" t="s">
        <v>254</v>
      </c>
      <c r="D481" s="165" t="s">
        <v>243</v>
      </c>
      <c r="E481" s="165" t="b">
        <v>1</v>
      </c>
      <c r="F481" s="165" t="s">
        <v>232</v>
      </c>
      <c r="G481" s="165" t="s">
        <v>235</v>
      </c>
      <c r="H481" s="41" t="str">
        <f t="shared" si="34"/>
        <v>East Hampshire|Mixed|TRUE|700to900|DrainedArGr</v>
      </c>
      <c r="I481" s="119">
        <v>0.87085806685318978</v>
      </c>
      <c r="J481" s="44">
        <v>16.12854959699597</v>
      </c>
      <c r="K481" s="36" t="str">
        <f t="shared" si="35"/>
        <v>Mixed|700to900</v>
      </c>
      <c r="L481" s="27"/>
      <c r="M481" s="27"/>
      <c r="N481" s="27"/>
      <c r="O481" s="27"/>
      <c r="P481" s="124"/>
    </row>
    <row r="482" spans="2:16" x14ac:dyDescent="0.2">
      <c r="B482" s="123"/>
      <c r="C482" s="165" t="s">
        <v>254</v>
      </c>
      <c r="D482" s="165" t="s">
        <v>243</v>
      </c>
      <c r="E482" s="165" t="b">
        <v>1</v>
      </c>
      <c r="F482" s="165" t="s">
        <v>236</v>
      </c>
      <c r="G482" s="165" t="s">
        <v>233</v>
      </c>
      <c r="H482" s="41" t="str">
        <f t="shared" si="34"/>
        <v>East Hampshire|Mixed|TRUE|900to1200|FreeDrain</v>
      </c>
      <c r="I482" s="119">
        <v>0.18319851740587167</v>
      </c>
      <c r="J482" s="44">
        <v>26.275961421652692</v>
      </c>
      <c r="K482" s="36" t="str">
        <f t="shared" si="35"/>
        <v>Mixed|900to1200</v>
      </c>
      <c r="L482" s="27"/>
      <c r="M482" s="27"/>
      <c r="N482" s="27"/>
      <c r="O482" s="27"/>
      <c r="P482" s="124"/>
    </row>
    <row r="483" spans="2:16" x14ac:dyDescent="0.2">
      <c r="B483" s="123"/>
      <c r="C483" s="165" t="s">
        <v>255</v>
      </c>
      <c r="D483" s="165" t="s">
        <v>117</v>
      </c>
      <c r="E483" s="165" t="b">
        <v>0</v>
      </c>
      <c r="F483" s="165" t="s">
        <v>232</v>
      </c>
      <c r="G483" s="165" t="s">
        <v>233</v>
      </c>
      <c r="H483" s="41" t="str">
        <f t="shared" ref="H483:H546" si="36">C483&amp;"|"&amp;D483&amp;"|"&amp;E483&amp;"|"&amp;F483&amp;"|"&amp;G483</f>
        <v>Isle of Wight|Cereals|FALSE|700to900|FreeDrain</v>
      </c>
      <c r="I483" s="119">
        <v>0.14397626220493862</v>
      </c>
      <c r="J483" s="44">
        <v>25.733898905445209</v>
      </c>
      <c r="K483" s="36" t="str">
        <f t="shared" si="35"/>
        <v>Cereals|700to900</v>
      </c>
      <c r="L483" s="27"/>
      <c r="M483" s="27"/>
      <c r="N483" s="27"/>
      <c r="O483" s="27"/>
      <c r="P483" s="124"/>
    </row>
    <row r="484" spans="2:16" x14ac:dyDescent="0.2">
      <c r="B484" s="123"/>
      <c r="C484" s="165" t="s">
        <v>255</v>
      </c>
      <c r="D484" s="165" t="s">
        <v>117</v>
      </c>
      <c r="E484" s="165" t="b">
        <v>1</v>
      </c>
      <c r="F484" s="165" t="s">
        <v>232</v>
      </c>
      <c r="G484" s="165" t="s">
        <v>233</v>
      </c>
      <c r="H484" s="41" t="str">
        <f t="shared" si="36"/>
        <v>Isle of Wight|Cereals|TRUE|700to900|FreeDrain</v>
      </c>
      <c r="I484" s="119">
        <v>0.14396454976857617</v>
      </c>
      <c r="J484" s="44">
        <v>25.649503365330638</v>
      </c>
      <c r="K484" s="36" t="str">
        <f t="shared" ref="K484:K547" si="37">D484&amp;"|"&amp;F484&amp;""</f>
        <v>Cereals|700to900</v>
      </c>
      <c r="L484" s="27"/>
      <c r="M484" s="27"/>
      <c r="N484" s="27"/>
      <c r="O484" s="27"/>
      <c r="P484" s="124"/>
    </row>
    <row r="485" spans="2:16" x14ac:dyDescent="0.2">
      <c r="B485" s="123"/>
      <c r="C485" s="165" t="s">
        <v>255</v>
      </c>
      <c r="D485" s="165" t="s">
        <v>117</v>
      </c>
      <c r="E485" s="165" t="b">
        <v>0</v>
      </c>
      <c r="F485" s="165" t="s">
        <v>232</v>
      </c>
      <c r="G485" s="165" t="s">
        <v>234</v>
      </c>
      <c r="H485" s="41" t="str">
        <f t="shared" si="36"/>
        <v>Isle of Wight|Cereals|FALSE|700to900|DrainedAr</v>
      </c>
      <c r="I485" s="119">
        <v>0.68230202817765639</v>
      </c>
      <c r="J485" s="44">
        <v>19.813657966146032</v>
      </c>
      <c r="K485" s="36" t="str">
        <f t="shared" si="37"/>
        <v>Cereals|700to900</v>
      </c>
      <c r="L485" s="27"/>
      <c r="M485" s="27"/>
      <c r="N485" s="27"/>
      <c r="O485" s="27"/>
      <c r="P485" s="124"/>
    </row>
    <row r="486" spans="2:16" x14ac:dyDescent="0.2">
      <c r="B486" s="123"/>
      <c r="C486" s="165" t="s">
        <v>255</v>
      </c>
      <c r="D486" s="165" t="s">
        <v>117</v>
      </c>
      <c r="E486" s="165" t="b">
        <v>1</v>
      </c>
      <c r="F486" s="165" t="s">
        <v>232</v>
      </c>
      <c r="G486" s="165" t="s">
        <v>234</v>
      </c>
      <c r="H486" s="41" t="str">
        <f t="shared" si="36"/>
        <v>Isle of Wight|Cereals|TRUE|700to900|DrainedAr</v>
      </c>
      <c r="I486" s="119">
        <v>0.68223455291239166</v>
      </c>
      <c r="J486" s="44">
        <v>19.754618491494739</v>
      </c>
      <c r="K486" s="36" t="str">
        <f t="shared" si="37"/>
        <v>Cereals|700to900</v>
      </c>
      <c r="L486" s="27"/>
      <c r="M486" s="27"/>
      <c r="N486" s="27"/>
      <c r="O486" s="27"/>
      <c r="P486" s="124"/>
    </row>
    <row r="487" spans="2:16" x14ac:dyDescent="0.2">
      <c r="B487" s="123"/>
      <c r="C487" s="165" t="s">
        <v>255</v>
      </c>
      <c r="D487" s="165" t="s">
        <v>117</v>
      </c>
      <c r="E487" s="165" t="b">
        <v>0</v>
      </c>
      <c r="F487" s="165" t="s">
        <v>232</v>
      </c>
      <c r="G487" s="165" t="s">
        <v>235</v>
      </c>
      <c r="H487" s="41" t="str">
        <f t="shared" si="36"/>
        <v>Isle of Wight|Cereals|FALSE|700to900|DrainedArGr</v>
      </c>
      <c r="I487" s="119">
        <v>0.95295153171533742</v>
      </c>
      <c r="J487" s="44">
        <v>18.36974291200271</v>
      </c>
      <c r="K487" s="36" t="str">
        <f t="shared" si="37"/>
        <v>Cereals|700to900</v>
      </c>
      <c r="L487" s="27"/>
      <c r="M487" s="27"/>
      <c r="N487" s="27"/>
      <c r="O487" s="27"/>
      <c r="P487" s="124"/>
    </row>
    <row r="488" spans="2:16" x14ac:dyDescent="0.2">
      <c r="B488" s="123"/>
      <c r="C488" s="165" t="s">
        <v>255</v>
      </c>
      <c r="D488" s="165" t="s">
        <v>117</v>
      </c>
      <c r="E488" s="165" t="b">
        <v>1</v>
      </c>
      <c r="F488" s="165" t="s">
        <v>232</v>
      </c>
      <c r="G488" s="165" t="s">
        <v>235</v>
      </c>
      <c r="H488" s="41" t="str">
        <f t="shared" si="36"/>
        <v>Isle of Wight|Cereals|TRUE|700to900|DrainedArGr</v>
      </c>
      <c r="I488" s="119">
        <v>0.95279840244184411</v>
      </c>
      <c r="J488" s="44">
        <v>18.320968551086658</v>
      </c>
      <c r="K488" s="36" t="str">
        <f t="shared" si="37"/>
        <v>Cereals|700to900</v>
      </c>
      <c r="L488" s="27"/>
      <c r="M488" s="27"/>
      <c r="N488" s="27"/>
      <c r="O488" s="27"/>
      <c r="P488" s="124"/>
    </row>
    <row r="489" spans="2:16" x14ac:dyDescent="0.2">
      <c r="B489" s="123"/>
      <c r="C489" s="165" t="s">
        <v>255</v>
      </c>
      <c r="D489" s="165" t="s">
        <v>117</v>
      </c>
      <c r="E489" s="165" t="b">
        <v>1</v>
      </c>
      <c r="F489" s="165" t="s">
        <v>236</v>
      </c>
      <c r="G489" s="165" t="s">
        <v>233</v>
      </c>
      <c r="H489" s="41" t="str">
        <f t="shared" si="36"/>
        <v>Isle of Wight|Cereals|TRUE|900to1200|FreeDrain</v>
      </c>
      <c r="I489" s="119">
        <v>0.25561856644329195</v>
      </c>
      <c r="J489" s="44">
        <v>27.256426374045976</v>
      </c>
      <c r="K489" s="36" t="str">
        <f t="shared" si="37"/>
        <v>Cereals|900to1200</v>
      </c>
      <c r="L489" s="27"/>
      <c r="M489" s="27"/>
      <c r="N489" s="27"/>
      <c r="O489" s="27"/>
      <c r="P489" s="124"/>
    </row>
    <row r="490" spans="2:16" x14ac:dyDescent="0.2">
      <c r="B490" s="123"/>
      <c r="C490" s="165" t="s">
        <v>255</v>
      </c>
      <c r="D490" s="165" t="s">
        <v>117</v>
      </c>
      <c r="E490" s="165" t="b">
        <v>1</v>
      </c>
      <c r="F490" s="165" t="s">
        <v>236</v>
      </c>
      <c r="G490" s="165" t="s">
        <v>235</v>
      </c>
      <c r="H490" s="41" t="str">
        <f t="shared" si="36"/>
        <v>Isle of Wight|Cereals|TRUE|900to1200|DrainedArGr</v>
      </c>
      <c r="I490" s="119">
        <v>1.5441222250904774</v>
      </c>
      <c r="J490" s="44">
        <v>21.128401937232976</v>
      </c>
      <c r="K490" s="36" t="str">
        <f t="shared" si="37"/>
        <v>Cereals|900to1200</v>
      </c>
      <c r="L490" s="27"/>
      <c r="M490" s="27"/>
      <c r="N490" s="27"/>
      <c r="O490" s="27"/>
      <c r="P490" s="124"/>
    </row>
    <row r="491" spans="2:16" x14ac:dyDescent="0.2">
      <c r="B491" s="123"/>
      <c r="C491" s="165" t="s">
        <v>255</v>
      </c>
      <c r="D491" s="165" t="s">
        <v>237</v>
      </c>
      <c r="E491" s="165" t="b">
        <v>0</v>
      </c>
      <c r="F491" s="165" t="s">
        <v>232</v>
      </c>
      <c r="G491" s="165" t="s">
        <v>233</v>
      </c>
      <c r="H491" s="41" t="str">
        <f t="shared" si="36"/>
        <v>Isle of Wight|General|FALSE|700to900|FreeDrain</v>
      </c>
      <c r="I491" s="119">
        <v>0.11188648441479269</v>
      </c>
      <c r="J491" s="44">
        <v>21.050635915294542</v>
      </c>
      <c r="K491" s="36" t="str">
        <f t="shared" si="37"/>
        <v>General|700to900</v>
      </c>
      <c r="L491" s="27"/>
      <c r="M491" s="27"/>
      <c r="N491" s="27"/>
      <c r="O491" s="27"/>
      <c r="P491" s="124"/>
    </row>
    <row r="492" spans="2:16" x14ac:dyDescent="0.2">
      <c r="B492" s="123"/>
      <c r="C492" s="165" t="s">
        <v>255</v>
      </c>
      <c r="D492" s="165" t="s">
        <v>237</v>
      </c>
      <c r="E492" s="165" t="b">
        <v>1</v>
      </c>
      <c r="F492" s="165" t="s">
        <v>232</v>
      </c>
      <c r="G492" s="165" t="s">
        <v>233</v>
      </c>
      <c r="H492" s="41" t="str">
        <f t="shared" si="36"/>
        <v>Isle of Wight|General|TRUE|700to900|FreeDrain</v>
      </c>
      <c r="I492" s="119">
        <v>0.11188648441479269</v>
      </c>
      <c r="J492" s="44">
        <v>20.991737860512764</v>
      </c>
      <c r="K492" s="36" t="str">
        <f t="shared" si="37"/>
        <v>General|700to900</v>
      </c>
      <c r="L492" s="27"/>
      <c r="M492" s="27"/>
      <c r="N492" s="27"/>
      <c r="O492" s="27"/>
      <c r="P492" s="124"/>
    </row>
    <row r="493" spans="2:16" x14ac:dyDescent="0.2">
      <c r="B493" s="123"/>
      <c r="C493" s="165" t="s">
        <v>255</v>
      </c>
      <c r="D493" s="165" t="s">
        <v>237</v>
      </c>
      <c r="E493" s="165" t="b">
        <v>0</v>
      </c>
      <c r="F493" s="165" t="s">
        <v>232</v>
      </c>
      <c r="G493" s="165" t="s">
        <v>234</v>
      </c>
      <c r="H493" s="41" t="str">
        <f t="shared" si="36"/>
        <v>Isle of Wight|General|FALSE|700to900|DrainedAr</v>
      </c>
      <c r="I493" s="119">
        <v>0.45982171029573549</v>
      </c>
      <c r="J493" s="44">
        <v>15.440656269135047</v>
      </c>
      <c r="K493" s="36" t="str">
        <f t="shared" si="37"/>
        <v>General|700to900</v>
      </c>
      <c r="L493" s="27"/>
      <c r="M493" s="27"/>
      <c r="N493" s="27"/>
      <c r="O493" s="27"/>
      <c r="P493" s="124"/>
    </row>
    <row r="494" spans="2:16" x14ac:dyDescent="0.2">
      <c r="B494" s="123"/>
      <c r="C494" s="165" t="s">
        <v>255</v>
      </c>
      <c r="D494" s="165" t="s">
        <v>237</v>
      </c>
      <c r="E494" s="165" t="b">
        <v>1</v>
      </c>
      <c r="F494" s="165" t="s">
        <v>232</v>
      </c>
      <c r="G494" s="165" t="s">
        <v>234</v>
      </c>
      <c r="H494" s="41" t="str">
        <f t="shared" si="36"/>
        <v>Isle of Wight|General|TRUE|700to900|DrainedAr</v>
      </c>
      <c r="I494" s="119">
        <v>0.45982171029573549</v>
      </c>
      <c r="J494" s="44">
        <v>15.401599525980744</v>
      </c>
      <c r="K494" s="36" t="str">
        <f t="shared" si="37"/>
        <v>General|700to900</v>
      </c>
      <c r="L494" s="27"/>
      <c r="M494" s="27"/>
      <c r="N494" s="27"/>
      <c r="O494" s="27"/>
      <c r="P494" s="124"/>
    </row>
    <row r="495" spans="2:16" x14ac:dyDescent="0.2">
      <c r="B495" s="123"/>
      <c r="C495" s="165" t="s">
        <v>255</v>
      </c>
      <c r="D495" s="165" t="s">
        <v>237</v>
      </c>
      <c r="E495" s="165" t="b">
        <v>0</v>
      </c>
      <c r="F495" s="165" t="s">
        <v>232</v>
      </c>
      <c r="G495" s="165" t="s">
        <v>235</v>
      </c>
      <c r="H495" s="41" t="str">
        <f t="shared" si="36"/>
        <v>Isle of Wight|General|FALSE|700to900|DrainedArGr</v>
      </c>
      <c r="I495" s="119">
        <v>0.71281341867510395</v>
      </c>
      <c r="J495" s="44">
        <v>13.694272723528419</v>
      </c>
      <c r="K495" s="36" t="str">
        <f t="shared" si="37"/>
        <v>General|700to900</v>
      </c>
      <c r="L495" s="27"/>
      <c r="M495" s="27"/>
      <c r="N495" s="27"/>
      <c r="O495" s="27"/>
      <c r="P495" s="124"/>
    </row>
    <row r="496" spans="2:16" x14ac:dyDescent="0.2">
      <c r="B496" s="123"/>
      <c r="C496" s="165" t="s">
        <v>255</v>
      </c>
      <c r="D496" s="165" t="s">
        <v>237</v>
      </c>
      <c r="E496" s="165" t="b">
        <v>1</v>
      </c>
      <c r="F496" s="165" t="s">
        <v>232</v>
      </c>
      <c r="G496" s="165" t="s">
        <v>235</v>
      </c>
      <c r="H496" s="41" t="str">
        <f t="shared" si="36"/>
        <v>Isle of Wight|General|TRUE|700to900|DrainedArGr</v>
      </c>
      <c r="I496" s="119">
        <v>0.71281341867510395</v>
      </c>
      <c r="J496" s="44">
        <v>13.663104921230305</v>
      </c>
      <c r="K496" s="36" t="str">
        <f t="shared" si="37"/>
        <v>General|700to900</v>
      </c>
      <c r="L496" s="27"/>
      <c r="M496" s="27"/>
      <c r="N496" s="27"/>
      <c r="O496" s="27"/>
      <c r="P496" s="124"/>
    </row>
    <row r="497" spans="2:16" x14ac:dyDescent="0.2">
      <c r="B497" s="123"/>
      <c r="C497" s="165" t="s">
        <v>255</v>
      </c>
      <c r="D497" s="165" t="s">
        <v>237</v>
      </c>
      <c r="E497" s="165" t="b">
        <v>1</v>
      </c>
      <c r="F497" s="165" t="s">
        <v>236</v>
      </c>
      <c r="G497" s="165" t="s">
        <v>233</v>
      </c>
      <c r="H497" s="41" t="str">
        <f t="shared" si="36"/>
        <v>Isle of Wight|General|TRUE|900to1200|FreeDrain</v>
      </c>
      <c r="I497" s="119">
        <v>0.2028686151742346</v>
      </c>
      <c r="J497" s="44">
        <v>22.368177172473079</v>
      </c>
      <c r="K497" s="36" t="str">
        <f t="shared" si="37"/>
        <v>General|900to1200</v>
      </c>
      <c r="L497" s="27"/>
      <c r="M497" s="27"/>
      <c r="N497" s="27"/>
      <c r="O497" s="27"/>
      <c r="P497" s="124"/>
    </row>
    <row r="498" spans="2:16" x14ac:dyDescent="0.2">
      <c r="B498" s="123"/>
      <c r="C498" s="165" t="s">
        <v>255</v>
      </c>
      <c r="D498" s="165" t="s">
        <v>237</v>
      </c>
      <c r="E498" s="165" t="b">
        <v>1</v>
      </c>
      <c r="F498" s="165" t="s">
        <v>236</v>
      </c>
      <c r="G498" s="165" t="s">
        <v>235</v>
      </c>
      <c r="H498" s="41" t="str">
        <f t="shared" si="36"/>
        <v>Isle of Wight|General|TRUE|900to1200|DrainedArGr</v>
      </c>
      <c r="I498" s="119">
        <v>1.1888300720599028</v>
      </c>
      <c r="J498" s="44">
        <v>15.581790523603065</v>
      </c>
      <c r="K498" s="36" t="str">
        <f t="shared" si="37"/>
        <v>General|900to1200</v>
      </c>
      <c r="L498" s="27"/>
      <c r="M498" s="27"/>
      <c r="N498" s="27"/>
      <c r="O498" s="27"/>
      <c r="P498" s="124"/>
    </row>
    <row r="499" spans="2:16" x14ac:dyDescent="0.2">
      <c r="B499" s="123"/>
      <c r="C499" s="165" t="s">
        <v>255</v>
      </c>
      <c r="D499" s="165" t="s">
        <v>237</v>
      </c>
      <c r="E499" s="165" t="b">
        <v>0</v>
      </c>
      <c r="F499" s="165" t="s">
        <v>244</v>
      </c>
      <c r="G499" s="165" t="s">
        <v>234</v>
      </c>
      <c r="H499" s="41" t="str">
        <f t="shared" si="36"/>
        <v>Isle of Wight|General|FALSE|Over1500|DrainedAr</v>
      </c>
      <c r="I499" s="119">
        <v>1.8636292619913388</v>
      </c>
      <c r="J499" s="44">
        <v>27.649400822648118</v>
      </c>
      <c r="K499" s="36" t="str">
        <f t="shared" si="37"/>
        <v>General|Over1500</v>
      </c>
      <c r="L499" s="27"/>
      <c r="M499" s="27"/>
      <c r="N499" s="27"/>
      <c r="O499" s="27"/>
      <c r="P499" s="124"/>
    </row>
    <row r="500" spans="2:16" x14ac:dyDescent="0.2">
      <c r="B500" s="123"/>
      <c r="C500" s="165" t="s">
        <v>255</v>
      </c>
      <c r="D500" s="165" t="s">
        <v>237</v>
      </c>
      <c r="E500" s="165" t="b">
        <v>1</v>
      </c>
      <c r="F500" s="165" t="s">
        <v>244</v>
      </c>
      <c r="G500" s="165" t="s">
        <v>235</v>
      </c>
      <c r="H500" s="41" t="str">
        <f t="shared" si="36"/>
        <v>Isle of Wight|General|TRUE|Over1500|DrainedArGr</v>
      </c>
      <c r="I500" s="119">
        <v>3.2545456857082868</v>
      </c>
      <c r="J500" s="44">
        <v>22.378150409262293</v>
      </c>
      <c r="K500" s="36" t="str">
        <f t="shared" si="37"/>
        <v>General|Over1500</v>
      </c>
      <c r="L500" s="27"/>
      <c r="M500" s="27"/>
      <c r="N500" s="27"/>
      <c r="O500" s="27"/>
      <c r="P500" s="124"/>
    </row>
    <row r="501" spans="2:16" x14ac:dyDescent="0.2">
      <c r="B501" s="123"/>
      <c r="C501" s="165" t="s">
        <v>255</v>
      </c>
      <c r="D501" s="165" t="s">
        <v>238</v>
      </c>
      <c r="E501" s="165" t="b">
        <v>0</v>
      </c>
      <c r="F501" s="165" t="s">
        <v>232</v>
      </c>
      <c r="G501" s="165" t="s">
        <v>233</v>
      </c>
      <c r="H501" s="41" t="str">
        <f t="shared" si="36"/>
        <v>Isle of Wight|Horticulture|FALSE|700to900|FreeDrain</v>
      </c>
      <c r="I501" s="119">
        <v>0.12336551468465934</v>
      </c>
      <c r="J501" s="44">
        <v>21.322359676447334</v>
      </c>
      <c r="K501" s="36" t="str">
        <f t="shared" si="37"/>
        <v>Horticulture|700to900</v>
      </c>
      <c r="L501" s="27"/>
      <c r="M501" s="27"/>
      <c r="N501" s="27"/>
      <c r="O501" s="27"/>
      <c r="P501" s="124"/>
    </row>
    <row r="502" spans="2:16" x14ac:dyDescent="0.2">
      <c r="B502" s="123"/>
      <c r="C502" s="165" t="s">
        <v>255</v>
      </c>
      <c r="D502" s="165" t="s">
        <v>238</v>
      </c>
      <c r="E502" s="165" t="b">
        <v>1</v>
      </c>
      <c r="F502" s="165" t="s">
        <v>232</v>
      </c>
      <c r="G502" s="165" t="s">
        <v>233</v>
      </c>
      <c r="H502" s="41" t="str">
        <f t="shared" si="36"/>
        <v>Isle of Wight|Horticulture|TRUE|700to900|FreeDrain</v>
      </c>
      <c r="I502" s="119">
        <v>0.12336551468465934</v>
      </c>
      <c r="J502" s="44">
        <v>21.260511349320147</v>
      </c>
      <c r="K502" s="36" t="str">
        <f t="shared" si="37"/>
        <v>Horticulture|700to900</v>
      </c>
      <c r="L502" s="27"/>
      <c r="M502" s="27"/>
      <c r="N502" s="27"/>
      <c r="O502" s="27"/>
      <c r="P502" s="124"/>
    </row>
    <row r="503" spans="2:16" x14ac:dyDescent="0.2">
      <c r="B503" s="123"/>
      <c r="C503" s="165" t="s">
        <v>255</v>
      </c>
      <c r="D503" s="165" t="s">
        <v>238</v>
      </c>
      <c r="E503" s="165" t="b">
        <v>0</v>
      </c>
      <c r="F503" s="165" t="s">
        <v>232</v>
      </c>
      <c r="G503" s="165" t="s">
        <v>234</v>
      </c>
      <c r="H503" s="41" t="str">
        <f t="shared" si="36"/>
        <v>Isle of Wight|Horticulture|FALSE|700to900|DrainedAr</v>
      </c>
      <c r="I503" s="119">
        <v>0.56481198614087269</v>
      </c>
      <c r="J503" s="44">
        <v>15.467705626671044</v>
      </c>
      <c r="K503" s="36" t="str">
        <f t="shared" si="37"/>
        <v>Horticulture|700to900</v>
      </c>
      <c r="L503" s="27"/>
      <c r="M503" s="27"/>
      <c r="N503" s="27"/>
      <c r="O503" s="27"/>
      <c r="P503" s="124"/>
    </row>
    <row r="504" spans="2:16" x14ac:dyDescent="0.2">
      <c r="B504" s="123"/>
      <c r="C504" s="165" t="s">
        <v>255</v>
      </c>
      <c r="D504" s="165" t="s">
        <v>238</v>
      </c>
      <c r="E504" s="165" t="b">
        <v>1</v>
      </c>
      <c r="F504" s="165" t="s">
        <v>232</v>
      </c>
      <c r="G504" s="165" t="s">
        <v>234</v>
      </c>
      <c r="H504" s="41" t="str">
        <f t="shared" si="36"/>
        <v>Isle of Wight|Horticulture|TRUE|700to900|DrainedAr</v>
      </c>
      <c r="I504" s="119">
        <v>0.56481198614087269</v>
      </c>
      <c r="J504" s="44">
        <v>15.426807698426805</v>
      </c>
      <c r="K504" s="36" t="str">
        <f t="shared" si="37"/>
        <v>Horticulture|700to900</v>
      </c>
      <c r="L504" s="27"/>
      <c r="M504" s="27"/>
      <c r="N504" s="27"/>
      <c r="O504" s="27"/>
      <c r="P504" s="124"/>
    </row>
    <row r="505" spans="2:16" x14ac:dyDescent="0.2">
      <c r="B505" s="123"/>
      <c r="C505" s="165" t="s">
        <v>255</v>
      </c>
      <c r="D505" s="165" t="s">
        <v>238</v>
      </c>
      <c r="E505" s="165" t="b">
        <v>0</v>
      </c>
      <c r="F505" s="165" t="s">
        <v>232</v>
      </c>
      <c r="G505" s="165" t="s">
        <v>235</v>
      </c>
      <c r="H505" s="41" t="str">
        <f t="shared" si="36"/>
        <v>Isle of Wight|Horticulture|FALSE|700to900|DrainedArGr</v>
      </c>
      <c r="I505" s="119">
        <v>0.82198256610550124</v>
      </c>
      <c r="J505" s="44">
        <v>13.641488405589175</v>
      </c>
      <c r="K505" s="36" t="str">
        <f t="shared" si="37"/>
        <v>Horticulture|700to900</v>
      </c>
      <c r="L505" s="27"/>
      <c r="M505" s="27"/>
      <c r="N505" s="27"/>
      <c r="O505" s="27"/>
      <c r="P505" s="124"/>
    </row>
    <row r="506" spans="2:16" x14ac:dyDescent="0.2">
      <c r="B506" s="123"/>
      <c r="C506" s="165" t="s">
        <v>255</v>
      </c>
      <c r="D506" s="165" t="s">
        <v>238</v>
      </c>
      <c r="E506" s="165" t="b">
        <v>1</v>
      </c>
      <c r="F506" s="165" t="s">
        <v>236</v>
      </c>
      <c r="G506" s="165" t="s">
        <v>233</v>
      </c>
      <c r="H506" s="41" t="str">
        <f t="shared" si="36"/>
        <v>Isle of Wight|Horticulture|TRUE|900to1200|FreeDrain</v>
      </c>
      <c r="I506" s="119">
        <v>0.22541051763707209</v>
      </c>
      <c r="J506" s="44">
        <v>22.769895863022395</v>
      </c>
      <c r="K506" s="36" t="str">
        <f t="shared" si="37"/>
        <v>Horticulture|900to1200</v>
      </c>
      <c r="L506" s="27"/>
      <c r="M506" s="27"/>
      <c r="N506" s="27"/>
      <c r="O506" s="27"/>
      <c r="P506" s="124"/>
    </row>
    <row r="507" spans="2:16" x14ac:dyDescent="0.2">
      <c r="B507" s="123"/>
      <c r="C507" s="165" t="s">
        <v>255</v>
      </c>
      <c r="D507" s="165" t="s">
        <v>240</v>
      </c>
      <c r="E507" s="165" t="b">
        <v>0</v>
      </c>
      <c r="F507" s="165" t="s">
        <v>232</v>
      </c>
      <c r="G507" s="165" t="s">
        <v>233</v>
      </c>
      <c r="H507" s="41" t="str">
        <f t="shared" si="36"/>
        <v>Isle of Wight|Poultry|FALSE|700to900|FreeDrain</v>
      </c>
      <c r="I507" s="119">
        <v>0.14301727635108399</v>
      </c>
      <c r="J507" s="44">
        <v>56.573606413500386</v>
      </c>
      <c r="K507" s="36" t="str">
        <f t="shared" si="37"/>
        <v>Poultry|700to900</v>
      </c>
      <c r="L507" s="27"/>
      <c r="M507" s="27"/>
      <c r="N507" s="27"/>
      <c r="O507" s="27"/>
      <c r="P507" s="124"/>
    </row>
    <row r="508" spans="2:16" x14ac:dyDescent="0.2">
      <c r="B508" s="123"/>
      <c r="C508" s="165" t="s">
        <v>255</v>
      </c>
      <c r="D508" s="165" t="s">
        <v>240</v>
      </c>
      <c r="E508" s="165" t="b">
        <v>1</v>
      </c>
      <c r="F508" s="165" t="s">
        <v>232</v>
      </c>
      <c r="G508" s="165" t="s">
        <v>233</v>
      </c>
      <c r="H508" s="41" t="str">
        <f t="shared" si="36"/>
        <v>Isle of Wight|Poultry|TRUE|700to900|FreeDrain</v>
      </c>
      <c r="I508" s="119">
        <v>0.14119056556144455</v>
      </c>
      <c r="J508" s="44">
        <v>56.647322491846943</v>
      </c>
      <c r="K508" s="36" t="str">
        <f t="shared" si="37"/>
        <v>Poultry|700to900</v>
      </c>
      <c r="L508" s="27"/>
      <c r="M508" s="27"/>
      <c r="N508" s="27"/>
      <c r="O508" s="27"/>
      <c r="P508" s="124"/>
    </row>
    <row r="509" spans="2:16" x14ac:dyDescent="0.2">
      <c r="B509" s="123"/>
      <c r="C509" s="165" t="s">
        <v>255</v>
      </c>
      <c r="D509" s="165" t="s">
        <v>240</v>
      </c>
      <c r="E509" s="165" t="b">
        <v>1</v>
      </c>
      <c r="F509" s="165" t="s">
        <v>232</v>
      </c>
      <c r="G509" s="165" t="s">
        <v>234</v>
      </c>
      <c r="H509" s="41" t="str">
        <f t="shared" si="36"/>
        <v>Isle of Wight|Poultry|TRUE|700to900|DrainedAr</v>
      </c>
      <c r="I509" s="119">
        <v>0.4721657411675913</v>
      </c>
      <c r="J509" s="44">
        <v>38.287575893106791</v>
      </c>
      <c r="K509" s="36" t="str">
        <f t="shared" si="37"/>
        <v>Poultry|700to900</v>
      </c>
      <c r="L509" s="27"/>
      <c r="M509" s="27"/>
      <c r="N509" s="27"/>
      <c r="O509" s="27"/>
      <c r="P509" s="124"/>
    </row>
    <row r="510" spans="2:16" x14ac:dyDescent="0.2">
      <c r="B510" s="123"/>
      <c r="C510" s="165" t="s">
        <v>255</v>
      </c>
      <c r="D510" s="165" t="s">
        <v>240</v>
      </c>
      <c r="E510" s="165" t="b">
        <v>0</v>
      </c>
      <c r="F510" s="165" t="s">
        <v>232</v>
      </c>
      <c r="G510" s="165" t="s">
        <v>235</v>
      </c>
      <c r="H510" s="41" t="str">
        <f t="shared" si="36"/>
        <v>Isle of Wight|Poultry|FALSE|700to900|DrainedArGr</v>
      </c>
      <c r="I510" s="119">
        <v>0.79945198404840001</v>
      </c>
      <c r="J510" s="44">
        <v>32.417195468245652</v>
      </c>
      <c r="K510" s="36" t="str">
        <f t="shared" si="37"/>
        <v>Poultry|700to900</v>
      </c>
      <c r="L510" s="27"/>
      <c r="M510" s="27"/>
      <c r="N510" s="27"/>
      <c r="O510" s="27"/>
      <c r="P510" s="124"/>
    </row>
    <row r="511" spans="2:16" x14ac:dyDescent="0.2">
      <c r="B511" s="123"/>
      <c r="C511" s="165" t="s">
        <v>255</v>
      </c>
      <c r="D511" s="165" t="s">
        <v>240</v>
      </c>
      <c r="E511" s="165" t="b">
        <v>1</v>
      </c>
      <c r="F511" s="165" t="s">
        <v>232</v>
      </c>
      <c r="G511" s="165" t="s">
        <v>235</v>
      </c>
      <c r="H511" s="41" t="str">
        <f t="shared" si="36"/>
        <v>Isle of Wight|Poultry|TRUE|700to900|DrainedArGr</v>
      </c>
      <c r="I511" s="119">
        <v>0.78382514196056352</v>
      </c>
      <c r="J511" s="44">
        <v>30.796183715959945</v>
      </c>
      <c r="K511" s="36" t="str">
        <f t="shared" si="37"/>
        <v>Poultry|700to900</v>
      </c>
      <c r="L511" s="27"/>
      <c r="M511" s="27"/>
      <c r="N511" s="27"/>
      <c r="O511" s="27"/>
      <c r="P511" s="124"/>
    </row>
    <row r="512" spans="2:16" x14ac:dyDescent="0.2">
      <c r="B512" s="123"/>
      <c r="C512" s="165" t="s">
        <v>255</v>
      </c>
      <c r="D512" s="165" t="s">
        <v>241</v>
      </c>
      <c r="E512" s="165" t="b">
        <v>0</v>
      </c>
      <c r="F512" s="165" t="s">
        <v>232</v>
      </c>
      <c r="G512" s="165" t="s">
        <v>233</v>
      </c>
      <c r="H512" s="41" t="str">
        <f t="shared" si="36"/>
        <v>Isle of Wight|Dairy|FALSE|700to900|FreeDrain</v>
      </c>
      <c r="I512" s="119">
        <v>0.14404652026279696</v>
      </c>
      <c r="J512" s="44">
        <v>29.893278460712942</v>
      </c>
      <c r="K512" s="36" t="str">
        <f t="shared" si="37"/>
        <v>Dairy|700to900</v>
      </c>
      <c r="L512" s="27"/>
      <c r="M512" s="27"/>
      <c r="N512" s="27"/>
      <c r="O512" s="27"/>
      <c r="P512" s="124"/>
    </row>
    <row r="513" spans="2:16" x14ac:dyDescent="0.2">
      <c r="B513" s="123"/>
      <c r="C513" s="165" t="s">
        <v>255</v>
      </c>
      <c r="D513" s="165" t="s">
        <v>241</v>
      </c>
      <c r="E513" s="165" t="b">
        <v>1</v>
      </c>
      <c r="F513" s="165" t="s">
        <v>232</v>
      </c>
      <c r="G513" s="165" t="s">
        <v>233</v>
      </c>
      <c r="H513" s="41" t="str">
        <f t="shared" si="36"/>
        <v>Isle of Wight|Dairy|TRUE|700to900|FreeDrain</v>
      </c>
      <c r="I513" s="119">
        <v>0.14311488829201904</v>
      </c>
      <c r="J513" s="44">
        <v>29.653500513139992</v>
      </c>
      <c r="K513" s="36" t="str">
        <f t="shared" si="37"/>
        <v>Dairy|700to900</v>
      </c>
      <c r="L513" s="27"/>
      <c r="M513" s="27"/>
      <c r="N513" s="27"/>
      <c r="O513" s="27"/>
      <c r="P513" s="124"/>
    </row>
    <row r="514" spans="2:16" x14ac:dyDescent="0.2">
      <c r="B514" s="123"/>
      <c r="C514" s="165" t="s">
        <v>255</v>
      </c>
      <c r="D514" s="165" t="s">
        <v>241</v>
      </c>
      <c r="E514" s="165" t="b">
        <v>0</v>
      </c>
      <c r="F514" s="165" t="s">
        <v>232</v>
      </c>
      <c r="G514" s="165" t="s">
        <v>234</v>
      </c>
      <c r="H514" s="41" t="str">
        <f t="shared" si="36"/>
        <v>Isle of Wight|Dairy|FALSE|700to900|DrainedAr</v>
      </c>
      <c r="I514" s="119">
        <v>0.3805662210141858</v>
      </c>
      <c r="J514" s="44">
        <v>22.763845799426168</v>
      </c>
      <c r="K514" s="36" t="str">
        <f t="shared" si="37"/>
        <v>Dairy|700to900</v>
      </c>
      <c r="L514" s="27"/>
      <c r="M514" s="27"/>
      <c r="N514" s="27"/>
      <c r="O514" s="27"/>
      <c r="P514" s="124"/>
    </row>
    <row r="515" spans="2:16" x14ac:dyDescent="0.2">
      <c r="B515" s="123"/>
      <c r="C515" s="165" t="s">
        <v>255</v>
      </c>
      <c r="D515" s="165" t="s">
        <v>241</v>
      </c>
      <c r="E515" s="165" t="b">
        <v>0</v>
      </c>
      <c r="F515" s="165" t="s">
        <v>232</v>
      </c>
      <c r="G515" s="165" t="s">
        <v>235</v>
      </c>
      <c r="H515" s="41" t="str">
        <f t="shared" si="36"/>
        <v>Isle of Wight|Dairy|FALSE|700to900|DrainedArGr</v>
      </c>
      <c r="I515" s="119">
        <v>0.94925076375459672</v>
      </c>
      <c r="J515" s="44">
        <v>15.328007883720296</v>
      </c>
      <c r="K515" s="36" t="str">
        <f t="shared" si="37"/>
        <v>Dairy|700to900</v>
      </c>
      <c r="L515" s="27"/>
      <c r="M515" s="27"/>
      <c r="N515" s="27"/>
      <c r="O515" s="27"/>
      <c r="P515" s="124"/>
    </row>
    <row r="516" spans="2:16" x14ac:dyDescent="0.2">
      <c r="B516" s="123"/>
      <c r="C516" s="165" t="s">
        <v>255</v>
      </c>
      <c r="D516" s="165" t="s">
        <v>241</v>
      </c>
      <c r="E516" s="165" t="b">
        <v>1</v>
      </c>
      <c r="F516" s="165" t="s">
        <v>232</v>
      </c>
      <c r="G516" s="165" t="s">
        <v>235</v>
      </c>
      <c r="H516" s="41" t="str">
        <f t="shared" si="36"/>
        <v>Isle of Wight|Dairy|TRUE|700to900|DrainedArGr</v>
      </c>
      <c r="I516" s="119">
        <v>0.93301882869261132</v>
      </c>
      <c r="J516" s="44">
        <v>15.105423715393894</v>
      </c>
      <c r="K516" s="36" t="str">
        <f t="shared" si="37"/>
        <v>Dairy|700to900</v>
      </c>
      <c r="L516" s="27"/>
      <c r="M516" s="27"/>
      <c r="N516" s="27"/>
      <c r="O516" s="27"/>
      <c r="P516" s="124"/>
    </row>
    <row r="517" spans="2:16" x14ac:dyDescent="0.2">
      <c r="B517" s="123"/>
      <c r="C517" s="165" t="s">
        <v>255</v>
      </c>
      <c r="D517" s="165" t="s">
        <v>241</v>
      </c>
      <c r="E517" s="165" t="b">
        <v>1</v>
      </c>
      <c r="F517" s="165" t="s">
        <v>244</v>
      </c>
      <c r="G517" s="165" t="s">
        <v>235</v>
      </c>
      <c r="H517" s="41" t="str">
        <f t="shared" si="36"/>
        <v>Isle of Wight|Dairy|TRUE|Over1500|DrainedArGr</v>
      </c>
      <c r="I517" s="119">
        <v>3.5443112581606213</v>
      </c>
      <c r="J517" s="44">
        <v>29.875371276661951</v>
      </c>
      <c r="K517" s="36" t="str">
        <f t="shared" si="37"/>
        <v>Dairy|Over1500</v>
      </c>
      <c r="L517" s="27"/>
      <c r="M517" s="27"/>
      <c r="N517" s="27"/>
      <c r="O517" s="27"/>
      <c r="P517" s="124"/>
    </row>
    <row r="518" spans="2:16" x14ac:dyDescent="0.2">
      <c r="B518" s="123"/>
      <c r="C518" s="165" t="s">
        <v>255</v>
      </c>
      <c r="D518" s="165" t="s">
        <v>242</v>
      </c>
      <c r="E518" s="165" t="b">
        <v>0</v>
      </c>
      <c r="F518" s="165" t="s">
        <v>232</v>
      </c>
      <c r="G518" s="165" t="s">
        <v>233</v>
      </c>
      <c r="H518" s="41" t="str">
        <f t="shared" si="36"/>
        <v>Isle of Wight|Lowland|FALSE|700to900|FreeDrain</v>
      </c>
      <c r="I518" s="119">
        <v>0.10359649398479792</v>
      </c>
      <c r="J518" s="44">
        <v>14.471917899644914</v>
      </c>
      <c r="K518" s="36" t="str">
        <f t="shared" si="37"/>
        <v>Lowland|700to900</v>
      </c>
      <c r="L518" s="27"/>
      <c r="M518" s="27"/>
      <c r="N518" s="27"/>
      <c r="O518" s="27"/>
      <c r="P518" s="124"/>
    </row>
    <row r="519" spans="2:16" x14ac:dyDescent="0.2">
      <c r="B519" s="123"/>
      <c r="C519" s="165" t="s">
        <v>255</v>
      </c>
      <c r="D519" s="165" t="s">
        <v>242</v>
      </c>
      <c r="E519" s="165" t="b">
        <v>1</v>
      </c>
      <c r="F519" s="165" t="s">
        <v>232</v>
      </c>
      <c r="G519" s="165" t="s">
        <v>233</v>
      </c>
      <c r="H519" s="41" t="str">
        <f t="shared" si="36"/>
        <v>Isle of Wight|Lowland|TRUE|700to900|FreeDrain</v>
      </c>
      <c r="I519" s="119">
        <v>0.10359621903282733</v>
      </c>
      <c r="J519" s="44">
        <v>14.376877778584294</v>
      </c>
      <c r="K519" s="36" t="str">
        <f t="shared" si="37"/>
        <v>Lowland|700to900</v>
      </c>
      <c r="L519" s="27"/>
      <c r="M519" s="27"/>
      <c r="N519" s="27"/>
      <c r="O519" s="27"/>
      <c r="P519" s="124"/>
    </row>
    <row r="520" spans="2:16" x14ac:dyDescent="0.2">
      <c r="B520" s="123"/>
      <c r="C520" s="165" t="s">
        <v>255</v>
      </c>
      <c r="D520" s="165" t="s">
        <v>242</v>
      </c>
      <c r="E520" s="165" t="b">
        <v>0</v>
      </c>
      <c r="F520" s="165" t="s">
        <v>232</v>
      </c>
      <c r="G520" s="165" t="s">
        <v>234</v>
      </c>
      <c r="H520" s="41" t="str">
        <f t="shared" si="36"/>
        <v>Isle of Wight|Lowland|FALSE|700to900|DrainedAr</v>
      </c>
      <c r="I520" s="119">
        <v>0.194380590624461</v>
      </c>
      <c r="J520" s="44">
        <v>11.249666131592974</v>
      </c>
      <c r="K520" s="36" t="str">
        <f t="shared" si="37"/>
        <v>Lowland|700to900</v>
      </c>
      <c r="L520" s="27"/>
      <c r="M520" s="27"/>
      <c r="N520" s="27"/>
      <c r="O520" s="27"/>
      <c r="P520" s="124"/>
    </row>
    <row r="521" spans="2:16" x14ac:dyDescent="0.2">
      <c r="B521" s="123"/>
      <c r="C521" s="165" t="s">
        <v>255</v>
      </c>
      <c r="D521" s="165" t="s">
        <v>242</v>
      </c>
      <c r="E521" s="165" t="b">
        <v>1</v>
      </c>
      <c r="F521" s="165" t="s">
        <v>232</v>
      </c>
      <c r="G521" s="165" t="s">
        <v>234</v>
      </c>
      <c r="H521" s="41" t="str">
        <f t="shared" si="36"/>
        <v>Isle of Wight|Lowland|TRUE|700to900|DrainedAr</v>
      </c>
      <c r="I521" s="119">
        <v>0.1943802494989923</v>
      </c>
      <c r="J521" s="44">
        <v>11.177170387346534</v>
      </c>
      <c r="K521" s="36" t="str">
        <f t="shared" si="37"/>
        <v>Lowland|700to900</v>
      </c>
      <c r="L521" s="27"/>
      <c r="M521" s="27"/>
      <c r="N521" s="27"/>
      <c r="O521" s="27"/>
      <c r="P521" s="124"/>
    </row>
    <row r="522" spans="2:16" x14ac:dyDescent="0.2">
      <c r="B522" s="123"/>
      <c r="C522" s="165" t="s">
        <v>255</v>
      </c>
      <c r="D522" s="165" t="s">
        <v>242</v>
      </c>
      <c r="E522" s="165" t="b">
        <v>0</v>
      </c>
      <c r="F522" s="165" t="s">
        <v>232</v>
      </c>
      <c r="G522" s="165" t="s">
        <v>235</v>
      </c>
      <c r="H522" s="41" t="str">
        <f t="shared" si="36"/>
        <v>Isle of Wight|Lowland|FALSE|700to900|DrainedArGr</v>
      </c>
      <c r="I522" s="119">
        <v>0.62998861137525541</v>
      </c>
      <c r="J522" s="44">
        <v>8.0902391577858133</v>
      </c>
      <c r="K522" s="36" t="str">
        <f t="shared" si="37"/>
        <v>Lowland|700to900</v>
      </c>
      <c r="L522" s="27"/>
      <c r="M522" s="27"/>
      <c r="N522" s="27"/>
      <c r="O522" s="27"/>
      <c r="P522" s="124"/>
    </row>
    <row r="523" spans="2:16" x14ac:dyDescent="0.2">
      <c r="B523" s="123"/>
      <c r="C523" s="165" t="s">
        <v>255</v>
      </c>
      <c r="D523" s="165" t="s">
        <v>242</v>
      </c>
      <c r="E523" s="165" t="b">
        <v>1</v>
      </c>
      <c r="F523" s="165" t="s">
        <v>232</v>
      </c>
      <c r="G523" s="165" t="s">
        <v>235</v>
      </c>
      <c r="H523" s="41" t="str">
        <f t="shared" si="36"/>
        <v>Isle of Wight|Lowland|TRUE|700to900|DrainedArGr</v>
      </c>
      <c r="I523" s="119">
        <v>0.62995331427719259</v>
      </c>
      <c r="J523" s="44">
        <v>8.0686913479057747</v>
      </c>
      <c r="K523" s="36" t="str">
        <f t="shared" si="37"/>
        <v>Lowland|700to900</v>
      </c>
      <c r="L523" s="27"/>
      <c r="M523" s="27"/>
      <c r="N523" s="27"/>
      <c r="O523" s="27"/>
      <c r="P523" s="124"/>
    </row>
    <row r="524" spans="2:16" x14ac:dyDescent="0.2">
      <c r="B524" s="123"/>
      <c r="C524" s="165" t="s">
        <v>255</v>
      </c>
      <c r="D524" s="165" t="s">
        <v>242</v>
      </c>
      <c r="E524" s="165" t="b">
        <v>1</v>
      </c>
      <c r="F524" s="165" t="s">
        <v>236</v>
      </c>
      <c r="G524" s="165" t="s">
        <v>233</v>
      </c>
      <c r="H524" s="41" t="str">
        <f t="shared" si="36"/>
        <v>Isle of Wight|Lowland|TRUE|900to1200|FreeDrain</v>
      </c>
      <c r="I524" s="119">
        <v>0.16559499841527092</v>
      </c>
      <c r="J524" s="44">
        <v>15.286379897151285</v>
      </c>
      <c r="K524" s="36" t="str">
        <f t="shared" si="37"/>
        <v>Lowland|900to1200</v>
      </c>
      <c r="L524" s="27"/>
      <c r="M524" s="27"/>
      <c r="N524" s="27"/>
      <c r="O524" s="27"/>
      <c r="P524" s="124"/>
    </row>
    <row r="525" spans="2:16" x14ac:dyDescent="0.2">
      <c r="B525" s="123"/>
      <c r="C525" s="165" t="s">
        <v>255</v>
      </c>
      <c r="D525" s="165" t="s">
        <v>242</v>
      </c>
      <c r="E525" s="165" t="b">
        <v>1</v>
      </c>
      <c r="F525" s="165" t="s">
        <v>236</v>
      </c>
      <c r="G525" s="165" t="s">
        <v>235</v>
      </c>
      <c r="H525" s="41" t="str">
        <f t="shared" si="36"/>
        <v>Isle of Wight|Lowland|TRUE|900to1200|DrainedArGr</v>
      </c>
      <c r="I525" s="119">
        <v>1.060851111154046</v>
      </c>
      <c r="J525" s="44">
        <v>10.482541523608202</v>
      </c>
      <c r="K525" s="36" t="str">
        <f t="shared" si="37"/>
        <v>Lowland|900to1200</v>
      </c>
      <c r="L525" s="27"/>
      <c r="M525" s="27"/>
      <c r="N525" s="27"/>
      <c r="O525" s="27"/>
      <c r="P525" s="124"/>
    </row>
    <row r="526" spans="2:16" x14ac:dyDescent="0.2">
      <c r="B526" s="123"/>
      <c r="C526" s="165" t="s">
        <v>255</v>
      </c>
      <c r="D526" s="165" t="s">
        <v>242</v>
      </c>
      <c r="E526" s="165" t="b">
        <v>0</v>
      </c>
      <c r="F526" s="165" t="s">
        <v>244</v>
      </c>
      <c r="G526" s="165" t="s">
        <v>233</v>
      </c>
      <c r="H526" s="41" t="str">
        <f t="shared" si="36"/>
        <v>Isle of Wight|Lowland|FALSE|Over1500|FreeDrain</v>
      </c>
      <c r="I526" s="119">
        <v>0.37977943936054587</v>
      </c>
      <c r="J526" s="44">
        <v>14.098806869387767</v>
      </c>
      <c r="K526" s="36" t="str">
        <f t="shared" si="37"/>
        <v>Lowland|Over1500</v>
      </c>
      <c r="L526" s="27"/>
      <c r="M526" s="27"/>
      <c r="N526" s="27"/>
      <c r="O526" s="27"/>
      <c r="P526" s="124"/>
    </row>
    <row r="527" spans="2:16" x14ac:dyDescent="0.2">
      <c r="B527" s="123"/>
      <c r="C527" s="165" t="s">
        <v>255</v>
      </c>
      <c r="D527" s="165" t="s">
        <v>242</v>
      </c>
      <c r="E527" s="165" t="b">
        <v>1</v>
      </c>
      <c r="F527" s="165" t="s">
        <v>244</v>
      </c>
      <c r="G527" s="165" t="s">
        <v>233</v>
      </c>
      <c r="H527" s="41" t="str">
        <f t="shared" si="36"/>
        <v>Isle of Wight|Lowland|TRUE|Over1500|FreeDrain</v>
      </c>
      <c r="I527" s="119">
        <v>0.37977888262648291</v>
      </c>
      <c r="J527" s="44">
        <v>14.017057058670117</v>
      </c>
      <c r="K527" s="36" t="str">
        <f t="shared" si="37"/>
        <v>Lowland|Over1500</v>
      </c>
      <c r="L527" s="27"/>
      <c r="M527" s="27"/>
      <c r="N527" s="27"/>
      <c r="O527" s="27"/>
      <c r="P527" s="124"/>
    </row>
    <row r="528" spans="2:16" x14ac:dyDescent="0.2">
      <c r="B528" s="123"/>
      <c r="C528" s="165" t="s">
        <v>255</v>
      </c>
      <c r="D528" s="165" t="s">
        <v>243</v>
      </c>
      <c r="E528" s="165" t="b">
        <v>0</v>
      </c>
      <c r="F528" s="165" t="s">
        <v>232</v>
      </c>
      <c r="G528" s="165" t="s">
        <v>233</v>
      </c>
      <c r="H528" s="41" t="str">
        <f t="shared" si="36"/>
        <v>Isle of Wight|Mixed|FALSE|700to900|FreeDrain</v>
      </c>
      <c r="I528" s="119">
        <v>0.13405930438633429</v>
      </c>
      <c r="J528" s="44">
        <v>23.017010710408062</v>
      </c>
      <c r="K528" s="36" t="str">
        <f t="shared" si="37"/>
        <v>Mixed|700to900</v>
      </c>
      <c r="L528" s="27"/>
      <c r="M528" s="27"/>
      <c r="N528" s="27"/>
      <c r="O528" s="27"/>
      <c r="P528" s="124"/>
    </row>
    <row r="529" spans="2:16" x14ac:dyDescent="0.2">
      <c r="B529" s="123"/>
      <c r="C529" s="165" t="s">
        <v>255</v>
      </c>
      <c r="D529" s="165" t="s">
        <v>243</v>
      </c>
      <c r="E529" s="165" t="b">
        <v>1</v>
      </c>
      <c r="F529" s="165" t="s">
        <v>232</v>
      </c>
      <c r="G529" s="165" t="s">
        <v>233</v>
      </c>
      <c r="H529" s="41" t="str">
        <f t="shared" si="36"/>
        <v>Isle of Wight|Mixed|TRUE|700to900|FreeDrain</v>
      </c>
      <c r="I529" s="119">
        <v>0.13385405816252099</v>
      </c>
      <c r="J529" s="44">
        <v>22.880841355167551</v>
      </c>
      <c r="K529" s="36" t="str">
        <f t="shared" si="37"/>
        <v>Mixed|700to900</v>
      </c>
      <c r="L529" s="27"/>
      <c r="M529" s="27"/>
      <c r="N529" s="27"/>
      <c r="O529" s="27"/>
      <c r="P529" s="124"/>
    </row>
    <row r="530" spans="2:16" x14ac:dyDescent="0.2">
      <c r="B530" s="123"/>
      <c r="C530" s="165" t="s">
        <v>255</v>
      </c>
      <c r="D530" s="165" t="s">
        <v>243</v>
      </c>
      <c r="E530" s="165" t="b">
        <v>0</v>
      </c>
      <c r="F530" s="165" t="s">
        <v>232</v>
      </c>
      <c r="G530" s="165" t="s">
        <v>234</v>
      </c>
      <c r="H530" s="41" t="str">
        <f t="shared" si="36"/>
        <v>Isle of Wight|Mixed|FALSE|700to900|DrainedAr</v>
      </c>
      <c r="I530" s="119">
        <v>0.48030393233863167</v>
      </c>
      <c r="J530" s="44">
        <v>17.688642796717385</v>
      </c>
      <c r="K530" s="36" t="str">
        <f t="shared" si="37"/>
        <v>Mixed|700to900</v>
      </c>
      <c r="L530" s="27"/>
      <c r="M530" s="27"/>
      <c r="N530" s="27"/>
      <c r="O530" s="27"/>
      <c r="P530" s="124"/>
    </row>
    <row r="531" spans="2:16" x14ac:dyDescent="0.2">
      <c r="B531" s="123"/>
      <c r="C531" s="165" t="s">
        <v>255</v>
      </c>
      <c r="D531" s="165" t="s">
        <v>243</v>
      </c>
      <c r="E531" s="165" t="b">
        <v>1</v>
      </c>
      <c r="F531" s="165" t="s">
        <v>232</v>
      </c>
      <c r="G531" s="165" t="s">
        <v>234</v>
      </c>
      <c r="H531" s="41" t="str">
        <f t="shared" si="36"/>
        <v>Isle of Wight|Mixed|TRUE|700to900|DrainedAr</v>
      </c>
      <c r="I531" s="119">
        <v>0.47919835354052853</v>
      </c>
      <c r="J531" s="44">
        <v>17.552390625263648</v>
      </c>
      <c r="K531" s="36" t="str">
        <f t="shared" si="37"/>
        <v>Mixed|700to900</v>
      </c>
      <c r="L531" s="27"/>
      <c r="M531" s="27"/>
      <c r="N531" s="27"/>
      <c r="O531" s="27"/>
      <c r="P531" s="124"/>
    </row>
    <row r="532" spans="2:16" x14ac:dyDescent="0.2">
      <c r="B532" s="123"/>
      <c r="C532" s="165" t="s">
        <v>255</v>
      </c>
      <c r="D532" s="165" t="s">
        <v>243</v>
      </c>
      <c r="E532" s="165" t="b">
        <v>0</v>
      </c>
      <c r="F532" s="165" t="s">
        <v>232</v>
      </c>
      <c r="G532" s="165" t="s">
        <v>235</v>
      </c>
      <c r="H532" s="41" t="str">
        <f t="shared" si="36"/>
        <v>Isle of Wight|Mixed|FALSE|700to900|DrainedArGr</v>
      </c>
      <c r="I532" s="119">
        <v>0.86769105485592724</v>
      </c>
      <c r="J532" s="44">
        <v>14.817409023545588</v>
      </c>
      <c r="K532" s="36" t="str">
        <f t="shared" si="37"/>
        <v>Mixed|700to900</v>
      </c>
      <c r="L532" s="27"/>
      <c r="M532" s="27"/>
      <c r="N532" s="27"/>
      <c r="O532" s="27"/>
      <c r="P532" s="124"/>
    </row>
    <row r="533" spans="2:16" x14ac:dyDescent="0.2">
      <c r="B533" s="123"/>
      <c r="C533" s="165" t="s">
        <v>255</v>
      </c>
      <c r="D533" s="165" t="s">
        <v>243</v>
      </c>
      <c r="E533" s="165" t="b">
        <v>1</v>
      </c>
      <c r="F533" s="165" t="s">
        <v>232</v>
      </c>
      <c r="G533" s="165" t="s">
        <v>235</v>
      </c>
      <c r="H533" s="41" t="str">
        <f t="shared" si="36"/>
        <v>Isle of Wight|Mixed|TRUE|700to900|DrainedArGr</v>
      </c>
      <c r="I533" s="119">
        <v>0.86487103166403423</v>
      </c>
      <c r="J533" s="44">
        <v>14.692298151738141</v>
      </c>
      <c r="K533" s="36" t="str">
        <f t="shared" si="37"/>
        <v>Mixed|700to900</v>
      </c>
      <c r="L533" s="27"/>
      <c r="M533" s="27"/>
      <c r="N533" s="27"/>
      <c r="O533" s="27"/>
      <c r="P533" s="124"/>
    </row>
    <row r="534" spans="2:16" x14ac:dyDescent="0.2">
      <c r="B534" s="123"/>
      <c r="C534" s="165" t="s">
        <v>256</v>
      </c>
      <c r="D534" s="165" t="s">
        <v>117</v>
      </c>
      <c r="E534" s="165" t="b">
        <v>0</v>
      </c>
      <c r="F534" s="165" t="s">
        <v>232</v>
      </c>
      <c r="G534" s="165" t="s">
        <v>233</v>
      </c>
      <c r="H534" s="41" t="str">
        <f t="shared" si="36"/>
        <v>New Forest|Cereals|FALSE|700to900|FreeDrain</v>
      </c>
      <c r="I534" s="119">
        <v>0.13631365805509321</v>
      </c>
      <c r="J534" s="44">
        <v>24.07788431038346</v>
      </c>
      <c r="K534" s="36" t="str">
        <f t="shared" si="37"/>
        <v>Cereals|700to900</v>
      </c>
      <c r="L534" s="27"/>
      <c r="M534" s="27"/>
      <c r="N534" s="27"/>
      <c r="O534" s="27"/>
      <c r="P534" s="124"/>
    </row>
    <row r="535" spans="2:16" x14ac:dyDescent="0.2">
      <c r="B535" s="123"/>
      <c r="C535" s="165" t="s">
        <v>256</v>
      </c>
      <c r="D535" s="165" t="s">
        <v>117</v>
      </c>
      <c r="E535" s="165" t="b">
        <v>1</v>
      </c>
      <c r="F535" s="165" t="s">
        <v>232</v>
      </c>
      <c r="G535" s="165" t="s">
        <v>233</v>
      </c>
      <c r="H535" s="41" t="str">
        <f t="shared" si="36"/>
        <v>New Forest|Cereals|TRUE|700to900|FreeDrain</v>
      </c>
      <c r="I535" s="119">
        <v>0.13630452747631935</v>
      </c>
      <c r="J535" s="44">
        <v>24.003533692824369</v>
      </c>
      <c r="K535" s="36" t="str">
        <f t="shared" si="37"/>
        <v>Cereals|700to900</v>
      </c>
      <c r="L535" s="27"/>
      <c r="M535" s="27"/>
      <c r="N535" s="27"/>
      <c r="O535" s="27"/>
      <c r="P535" s="124"/>
    </row>
    <row r="536" spans="2:16" x14ac:dyDescent="0.2">
      <c r="B536" s="123"/>
      <c r="C536" s="165" t="s">
        <v>256</v>
      </c>
      <c r="D536" s="165" t="s">
        <v>117</v>
      </c>
      <c r="E536" s="165" t="b">
        <v>0</v>
      </c>
      <c r="F536" s="165" t="s">
        <v>232</v>
      </c>
      <c r="G536" s="165" t="s">
        <v>234</v>
      </c>
      <c r="H536" s="41" t="str">
        <f t="shared" si="36"/>
        <v>New Forest|Cereals|FALSE|700to900|DrainedAr</v>
      </c>
      <c r="I536" s="119">
        <v>0.61911612585031839</v>
      </c>
      <c r="J536" s="44">
        <v>18.346933602722881</v>
      </c>
      <c r="K536" s="36" t="str">
        <f t="shared" si="37"/>
        <v>Cereals|700to900</v>
      </c>
      <c r="L536" s="27"/>
      <c r="M536" s="27"/>
      <c r="N536" s="27"/>
      <c r="O536" s="27"/>
      <c r="P536" s="124"/>
    </row>
    <row r="537" spans="2:16" x14ac:dyDescent="0.2">
      <c r="B537" s="123"/>
      <c r="C537" s="165" t="s">
        <v>256</v>
      </c>
      <c r="D537" s="165" t="s">
        <v>117</v>
      </c>
      <c r="E537" s="165" t="b">
        <v>1</v>
      </c>
      <c r="F537" s="165" t="s">
        <v>232</v>
      </c>
      <c r="G537" s="165" t="s">
        <v>234</v>
      </c>
      <c r="H537" s="41" t="str">
        <f t="shared" si="36"/>
        <v>New Forest|Cereals|TRUE|700to900|DrainedAr</v>
      </c>
      <c r="I537" s="119">
        <v>0.61907440047638462</v>
      </c>
      <c r="J537" s="44">
        <v>18.295692755793119</v>
      </c>
      <c r="K537" s="36" t="str">
        <f t="shared" si="37"/>
        <v>Cereals|700to900</v>
      </c>
      <c r="L537" s="27"/>
      <c r="M537" s="27"/>
      <c r="N537" s="27"/>
      <c r="O537" s="27"/>
      <c r="P537" s="124"/>
    </row>
    <row r="538" spans="2:16" x14ac:dyDescent="0.2">
      <c r="B538" s="123"/>
      <c r="C538" s="165" t="s">
        <v>256</v>
      </c>
      <c r="D538" s="165" t="s">
        <v>237</v>
      </c>
      <c r="E538" s="165" t="b">
        <v>0</v>
      </c>
      <c r="F538" s="165" t="s">
        <v>232</v>
      </c>
      <c r="G538" s="165" t="s">
        <v>233</v>
      </c>
      <c r="H538" s="41" t="str">
        <f t="shared" si="36"/>
        <v>New Forest|General|FALSE|700to900|FreeDrain</v>
      </c>
      <c r="I538" s="119">
        <v>9.4360634717568906E-2</v>
      </c>
      <c r="J538" s="44">
        <v>15.663120567157076</v>
      </c>
      <c r="K538" s="36" t="str">
        <f t="shared" si="37"/>
        <v>General|700to900</v>
      </c>
      <c r="L538" s="27"/>
      <c r="M538" s="27"/>
      <c r="N538" s="27"/>
      <c r="O538" s="27"/>
      <c r="P538" s="124"/>
    </row>
    <row r="539" spans="2:16" x14ac:dyDescent="0.2">
      <c r="B539" s="123"/>
      <c r="C539" s="165" t="s">
        <v>256</v>
      </c>
      <c r="D539" s="165" t="s">
        <v>237</v>
      </c>
      <c r="E539" s="165" t="b">
        <v>1</v>
      </c>
      <c r="F539" s="165" t="s">
        <v>232</v>
      </c>
      <c r="G539" s="165" t="s">
        <v>233</v>
      </c>
      <c r="H539" s="41" t="str">
        <f t="shared" si="36"/>
        <v>New Forest|General|TRUE|700to900|FreeDrain</v>
      </c>
      <c r="I539" s="119">
        <v>9.4360634717568906E-2</v>
      </c>
      <c r="J539" s="44">
        <v>15.621567863257393</v>
      </c>
      <c r="K539" s="36" t="str">
        <f t="shared" si="37"/>
        <v>General|700to900</v>
      </c>
      <c r="L539" s="27"/>
      <c r="M539" s="27"/>
      <c r="N539" s="27"/>
      <c r="O539" s="27"/>
      <c r="P539" s="124"/>
    </row>
    <row r="540" spans="2:16" x14ac:dyDescent="0.2">
      <c r="B540" s="123"/>
      <c r="C540" s="165" t="s">
        <v>256</v>
      </c>
      <c r="D540" s="165" t="s">
        <v>237</v>
      </c>
      <c r="E540" s="165" t="b">
        <v>0</v>
      </c>
      <c r="F540" s="165" t="s">
        <v>232</v>
      </c>
      <c r="G540" s="165" t="s">
        <v>234</v>
      </c>
      <c r="H540" s="41" t="str">
        <f t="shared" si="36"/>
        <v>New Forest|General|FALSE|700to900|DrainedAr</v>
      </c>
      <c r="I540" s="119">
        <v>0.31420349808068498</v>
      </c>
      <c r="J540" s="44">
        <v>11.660662451706145</v>
      </c>
      <c r="K540" s="36" t="str">
        <f t="shared" si="37"/>
        <v>General|700to900</v>
      </c>
      <c r="L540" s="27"/>
      <c r="M540" s="27"/>
      <c r="N540" s="27"/>
      <c r="O540" s="27"/>
      <c r="P540" s="124"/>
    </row>
    <row r="541" spans="2:16" x14ac:dyDescent="0.2">
      <c r="B541" s="123"/>
      <c r="C541" s="165" t="s">
        <v>256</v>
      </c>
      <c r="D541" s="165" t="s">
        <v>237</v>
      </c>
      <c r="E541" s="165" t="b">
        <v>1</v>
      </c>
      <c r="F541" s="165" t="s">
        <v>232</v>
      </c>
      <c r="G541" s="165" t="s">
        <v>234</v>
      </c>
      <c r="H541" s="41" t="str">
        <f t="shared" si="36"/>
        <v>New Forest|General|TRUE|700to900|DrainedAr</v>
      </c>
      <c r="I541" s="119">
        <v>0.31420349808068498</v>
      </c>
      <c r="J541" s="44">
        <v>11.633213734809832</v>
      </c>
      <c r="K541" s="36" t="str">
        <f t="shared" si="37"/>
        <v>General|700to900</v>
      </c>
      <c r="L541" s="27"/>
      <c r="M541" s="27"/>
      <c r="N541" s="27"/>
      <c r="O541" s="27"/>
      <c r="P541" s="124"/>
    </row>
    <row r="542" spans="2:16" x14ac:dyDescent="0.2">
      <c r="B542" s="123"/>
      <c r="C542" s="165" t="s">
        <v>256</v>
      </c>
      <c r="D542" s="165" t="s">
        <v>237</v>
      </c>
      <c r="E542" s="165" t="b">
        <v>0</v>
      </c>
      <c r="F542" s="165" t="s">
        <v>232</v>
      </c>
      <c r="G542" s="165" t="s">
        <v>235</v>
      </c>
      <c r="H542" s="41" t="str">
        <f t="shared" si="36"/>
        <v>New Forest|General|FALSE|700to900|DrainedArGr</v>
      </c>
      <c r="I542" s="119">
        <v>0.57345558552977294</v>
      </c>
      <c r="J542" s="44">
        <v>10.167735015962069</v>
      </c>
      <c r="K542" s="36" t="str">
        <f t="shared" si="37"/>
        <v>General|700to900</v>
      </c>
      <c r="L542" s="27"/>
      <c r="M542" s="27"/>
      <c r="N542" s="27"/>
      <c r="O542" s="27"/>
      <c r="P542" s="124"/>
    </row>
    <row r="543" spans="2:16" x14ac:dyDescent="0.2">
      <c r="B543" s="123"/>
      <c r="C543" s="165" t="s">
        <v>256</v>
      </c>
      <c r="D543" s="165" t="s">
        <v>237</v>
      </c>
      <c r="E543" s="165" t="b">
        <v>1</v>
      </c>
      <c r="F543" s="165" t="s">
        <v>232</v>
      </c>
      <c r="G543" s="165" t="s">
        <v>235</v>
      </c>
      <c r="H543" s="41" t="str">
        <f t="shared" si="36"/>
        <v>New Forest|General|TRUE|700to900|DrainedArGr</v>
      </c>
      <c r="I543" s="119">
        <v>0.57345558552977294</v>
      </c>
      <c r="J543" s="44">
        <v>10.145832665503566</v>
      </c>
      <c r="K543" s="36" t="str">
        <f t="shared" si="37"/>
        <v>General|700to900</v>
      </c>
      <c r="L543" s="27"/>
      <c r="M543" s="27"/>
      <c r="N543" s="27"/>
      <c r="O543" s="27"/>
      <c r="P543" s="124"/>
    </row>
    <row r="544" spans="2:16" x14ac:dyDescent="0.2">
      <c r="B544" s="123"/>
      <c r="C544" s="165" t="s">
        <v>256</v>
      </c>
      <c r="D544" s="165" t="s">
        <v>238</v>
      </c>
      <c r="E544" s="165" t="b">
        <v>1</v>
      </c>
      <c r="F544" s="165" t="s">
        <v>232</v>
      </c>
      <c r="G544" s="165" t="s">
        <v>234</v>
      </c>
      <c r="H544" s="41" t="str">
        <f t="shared" si="36"/>
        <v>New Forest|Horticulture|TRUE|700to900|DrainedAr</v>
      </c>
      <c r="I544" s="119">
        <v>0.43395708708567327</v>
      </c>
      <c r="J544" s="44">
        <v>11.085063689173161</v>
      </c>
      <c r="K544" s="36" t="str">
        <f t="shared" si="37"/>
        <v>Horticulture|700to900</v>
      </c>
      <c r="L544" s="27"/>
      <c r="M544" s="27"/>
      <c r="N544" s="27"/>
      <c r="O544" s="27"/>
      <c r="P544" s="124"/>
    </row>
    <row r="545" spans="2:16" x14ac:dyDescent="0.2">
      <c r="B545" s="123"/>
      <c r="C545" s="165" t="s">
        <v>256</v>
      </c>
      <c r="D545" s="165" t="s">
        <v>238</v>
      </c>
      <c r="E545" s="165" t="b">
        <v>0</v>
      </c>
      <c r="F545" s="165" t="s">
        <v>232</v>
      </c>
      <c r="G545" s="165" t="s">
        <v>235</v>
      </c>
      <c r="H545" s="41" t="str">
        <f t="shared" si="36"/>
        <v>New Forest|Horticulture|FALSE|700to900|DrainedArGr</v>
      </c>
      <c r="I545" s="119">
        <v>0.69097411567147615</v>
      </c>
      <c r="J545" s="44">
        <v>9.6361694965001803</v>
      </c>
      <c r="K545" s="36" t="str">
        <f t="shared" si="37"/>
        <v>Horticulture|700to900</v>
      </c>
      <c r="L545" s="27"/>
      <c r="M545" s="27"/>
      <c r="N545" s="27"/>
      <c r="O545" s="27"/>
      <c r="P545" s="124"/>
    </row>
    <row r="546" spans="2:16" x14ac:dyDescent="0.2">
      <c r="B546" s="123"/>
      <c r="C546" s="165" t="s">
        <v>256</v>
      </c>
      <c r="D546" s="165" t="s">
        <v>238</v>
      </c>
      <c r="E546" s="165" t="b">
        <v>1</v>
      </c>
      <c r="F546" s="165" t="s">
        <v>236</v>
      </c>
      <c r="G546" s="165" t="s">
        <v>235</v>
      </c>
      <c r="H546" s="41" t="str">
        <f t="shared" si="36"/>
        <v>New Forest|Horticulture|TRUE|900to1200|DrainedArGr</v>
      </c>
      <c r="I546" s="119">
        <v>1.1279540047156489</v>
      </c>
      <c r="J546" s="44">
        <v>11.48220139219138</v>
      </c>
      <c r="K546" s="36" t="str">
        <f t="shared" si="37"/>
        <v>Horticulture|900to1200</v>
      </c>
      <c r="L546" s="27"/>
      <c r="M546" s="27"/>
      <c r="N546" s="27"/>
      <c r="O546" s="27"/>
      <c r="P546" s="124"/>
    </row>
    <row r="547" spans="2:16" x14ac:dyDescent="0.2">
      <c r="B547" s="123"/>
      <c r="C547" s="165" t="s">
        <v>256</v>
      </c>
      <c r="D547" s="165" t="s">
        <v>240</v>
      </c>
      <c r="E547" s="165" t="b">
        <v>0</v>
      </c>
      <c r="F547" s="165" t="s">
        <v>232</v>
      </c>
      <c r="G547" s="165" t="s">
        <v>233</v>
      </c>
      <c r="H547" s="41" t="str">
        <f t="shared" ref="H547:H610" si="38">C547&amp;"|"&amp;D547&amp;"|"&amp;E547&amp;"|"&amp;F547&amp;"|"&amp;G547</f>
        <v>New Forest|Poultry|FALSE|700to900|FreeDrain</v>
      </c>
      <c r="I547" s="119">
        <v>0.30177312143228419</v>
      </c>
      <c r="J547" s="44">
        <v>251.38016432123194</v>
      </c>
      <c r="K547" s="36" t="str">
        <f t="shared" si="37"/>
        <v>Poultry|700to900</v>
      </c>
      <c r="L547" s="27"/>
      <c r="M547" s="27"/>
      <c r="N547" s="27"/>
      <c r="O547" s="27"/>
      <c r="P547" s="124"/>
    </row>
    <row r="548" spans="2:16" x14ac:dyDescent="0.2">
      <c r="B548" s="123"/>
      <c r="C548" s="165" t="s">
        <v>256</v>
      </c>
      <c r="D548" s="165" t="s">
        <v>240</v>
      </c>
      <c r="E548" s="165" t="b">
        <v>1</v>
      </c>
      <c r="F548" s="165" t="s">
        <v>232</v>
      </c>
      <c r="G548" s="165" t="s">
        <v>233</v>
      </c>
      <c r="H548" s="41" t="str">
        <f t="shared" si="38"/>
        <v>New Forest|Poultry|TRUE|700to900|FreeDrain</v>
      </c>
      <c r="I548" s="119">
        <v>0.29437665067025298</v>
      </c>
      <c r="J548" s="44">
        <v>252.08232824636477</v>
      </c>
      <c r="K548" s="36" t="str">
        <f t="shared" ref="K548:K610" si="39">D548&amp;"|"&amp;F548&amp;""</f>
        <v>Poultry|700to900</v>
      </c>
      <c r="L548" s="27"/>
      <c r="M548" s="27"/>
      <c r="N548" s="27"/>
      <c r="O548" s="27"/>
      <c r="P548" s="124"/>
    </row>
    <row r="549" spans="2:16" x14ac:dyDescent="0.2">
      <c r="B549" s="123"/>
      <c r="C549" s="165" t="s">
        <v>256</v>
      </c>
      <c r="D549" s="165" t="s">
        <v>240</v>
      </c>
      <c r="E549" s="165" t="b">
        <v>0</v>
      </c>
      <c r="F549" s="165" t="s">
        <v>232</v>
      </c>
      <c r="G549" s="165" t="s">
        <v>234</v>
      </c>
      <c r="H549" s="41" t="str">
        <f t="shared" si="38"/>
        <v>New Forest|Poultry|FALSE|700to900|DrainedAr</v>
      </c>
      <c r="I549" s="119">
        <v>0.58432226874808013</v>
      </c>
      <c r="J549" s="44">
        <v>174.64253681034535</v>
      </c>
      <c r="K549" s="36" t="str">
        <f t="shared" si="39"/>
        <v>Poultry|700to900</v>
      </c>
      <c r="L549" s="27"/>
      <c r="M549" s="27"/>
      <c r="N549" s="27"/>
      <c r="O549" s="27"/>
      <c r="P549" s="124"/>
    </row>
    <row r="550" spans="2:16" x14ac:dyDescent="0.2">
      <c r="B550" s="123"/>
      <c r="C550" s="165" t="s">
        <v>256</v>
      </c>
      <c r="D550" s="165" t="s">
        <v>240</v>
      </c>
      <c r="E550" s="165" t="b">
        <v>1</v>
      </c>
      <c r="F550" s="165" t="s">
        <v>232</v>
      </c>
      <c r="G550" s="165" t="s">
        <v>234</v>
      </c>
      <c r="H550" s="41" t="str">
        <f t="shared" si="38"/>
        <v>New Forest|Poultry|TRUE|700to900|DrainedAr</v>
      </c>
      <c r="I550" s="119">
        <v>0.54741927263415779</v>
      </c>
      <c r="J550" s="44">
        <v>168.02415280100436</v>
      </c>
      <c r="K550" s="36" t="str">
        <f t="shared" si="39"/>
        <v>Poultry|700to900</v>
      </c>
      <c r="L550" s="27"/>
      <c r="M550" s="27"/>
      <c r="N550" s="27"/>
      <c r="O550" s="27"/>
      <c r="P550" s="124"/>
    </row>
    <row r="551" spans="2:16" x14ac:dyDescent="0.2">
      <c r="B551" s="123"/>
      <c r="C551" s="165" t="s">
        <v>256</v>
      </c>
      <c r="D551" s="165" t="s">
        <v>240</v>
      </c>
      <c r="E551" s="165" t="b">
        <v>0</v>
      </c>
      <c r="F551" s="165" t="s">
        <v>232</v>
      </c>
      <c r="G551" s="165" t="s">
        <v>235</v>
      </c>
      <c r="H551" s="41" t="str">
        <f t="shared" si="38"/>
        <v>New Forest|Poultry|FALSE|700to900|DrainedArGr</v>
      </c>
      <c r="I551" s="119">
        <v>1.4757752653322784</v>
      </c>
      <c r="J551" s="44">
        <v>132.79819781830733</v>
      </c>
      <c r="K551" s="36" t="str">
        <f t="shared" si="39"/>
        <v>Poultry|700to900</v>
      </c>
      <c r="L551" s="27"/>
      <c r="M551" s="27"/>
      <c r="N551" s="27"/>
      <c r="O551" s="27"/>
      <c r="P551" s="124"/>
    </row>
    <row r="552" spans="2:16" x14ac:dyDescent="0.2">
      <c r="B552" s="123"/>
      <c r="C552" s="165" t="s">
        <v>256</v>
      </c>
      <c r="D552" s="165" t="s">
        <v>241</v>
      </c>
      <c r="E552" s="165" t="b">
        <v>0</v>
      </c>
      <c r="F552" s="165" t="s">
        <v>232</v>
      </c>
      <c r="G552" s="165" t="s">
        <v>233</v>
      </c>
      <c r="H552" s="41" t="str">
        <f t="shared" si="38"/>
        <v>New Forest|Dairy|FALSE|700to900|FreeDrain</v>
      </c>
      <c r="I552" s="119">
        <v>0.17052492394866708</v>
      </c>
      <c r="J552" s="44">
        <v>39.742290460371983</v>
      </c>
      <c r="K552" s="36" t="str">
        <f t="shared" si="39"/>
        <v>Dairy|700to900</v>
      </c>
      <c r="L552" s="27"/>
      <c r="M552" s="27"/>
      <c r="N552" s="27"/>
      <c r="O552" s="27"/>
      <c r="P552" s="124"/>
    </row>
    <row r="553" spans="2:16" x14ac:dyDescent="0.2">
      <c r="B553" s="123"/>
      <c r="C553" s="165" t="s">
        <v>256</v>
      </c>
      <c r="D553" s="165" t="s">
        <v>241</v>
      </c>
      <c r="E553" s="165" t="b">
        <v>1</v>
      </c>
      <c r="F553" s="165" t="s">
        <v>232</v>
      </c>
      <c r="G553" s="165" t="s">
        <v>233</v>
      </c>
      <c r="H553" s="41" t="str">
        <f t="shared" si="38"/>
        <v>New Forest|Dairy|TRUE|700to900|FreeDrain</v>
      </c>
      <c r="I553" s="119">
        <v>0.16878892232547674</v>
      </c>
      <c r="J553" s="44">
        <v>39.349305132539158</v>
      </c>
      <c r="K553" s="36" t="str">
        <f t="shared" si="39"/>
        <v>Dairy|700to900</v>
      </c>
      <c r="L553" s="27"/>
      <c r="M553" s="27"/>
      <c r="N553" s="27"/>
      <c r="O553" s="27"/>
      <c r="P553" s="124"/>
    </row>
    <row r="554" spans="2:16" x14ac:dyDescent="0.2">
      <c r="B554" s="123"/>
      <c r="C554" s="165" t="s">
        <v>256</v>
      </c>
      <c r="D554" s="165" t="s">
        <v>241</v>
      </c>
      <c r="E554" s="165" t="b">
        <v>0</v>
      </c>
      <c r="F554" s="165" t="s">
        <v>232</v>
      </c>
      <c r="G554" s="165" t="s">
        <v>234</v>
      </c>
      <c r="H554" s="41" t="str">
        <f t="shared" si="38"/>
        <v>New Forest|Dairy|FALSE|700to900|DrainedAr</v>
      </c>
      <c r="I554" s="119">
        <v>0.30793617077607005</v>
      </c>
      <c r="J554" s="44">
        <v>30.602524867297902</v>
      </c>
      <c r="K554" s="36" t="str">
        <f t="shared" si="39"/>
        <v>Dairy|700to900</v>
      </c>
      <c r="L554" s="27"/>
      <c r="M554" s="27"/>
      <c r="N554" s="27"/>
      <c r="O554" s="27"/>
      <c r="P554" s="124"/>
    </row>
    <row r="555" spans="2:16" x14ac:dyDescent="0.2">
      <c r="B555" s="123"/>
      <c r="C555" s="165" t="s">
        <v>256</v>
      </c>
      <c r="D555" s="165" t="s">
        <v>241</v>
      </c>
      <c r="E555" s="165" t="b">
        <v>0</v>
      </c>
      <c r="F555" s="165" t="s">
        <v>232</v>
      </c>
      <c r="G555" s="165" t="s">
        <v>235</v>
      </c>
      <c r="H555" s="41" t="str">
        <f t="shared" si="38"/>
        <v>New Forest|Dairy|FALSE|700to900|DrainedArGr</v>
      </c>
      <c r="I555" s="119">
        <v>1.1197738890114515</v>
      </c>
      <c r="J555" s="44">
        <v>17.754776842332927</v>
      </c>
      <c r="K555" s="36" t="str">
        <f t="shared" si="39"/>
        <v>Dairy|700to900</v>
      </c>
      <c r="L555" s="27"/>
      <c r="M555" s="27"/>
      <c r="N555" s="27"/>
      <c r="O555" s="27"/>
      <c r="P555" s="124"/>
    </row>
    <row r="556" spans="2:16" x14ac:dyDescent="0.2">
      <c r="B556" s="123"/>
      <c r="C556" s="165" t="s">
        <v>256</v>
      </c>
      <c r="D556" s="165" t="s">
        <v>242</v>
      </c>
      <c r="E556" s="165" t="b">
        <v>0</v>
      </c>
      <c r="F556" s="165" t="s">
        <v>232</v>
      </c>
      <c r="G556" s="165" t="s">
        <v>233</v>
      </c>
      <c r="H556" s="41" t="str">
        <f t="shared" si="38"/>
        <v>New Forest|Lowland|FALSE|700to900|FreeDrain</v>
      </c>
      <c r="I556" s="119">
        <v>9.0707986510308744E-2</v>
      </c>
      <c r="J556" s="44">
        <v>10.813905569288393</v>
      </c>
      <c r="K556" s="36" t="str">
        <f t="shared" si="39"/>
        <v>Lowland|700to900</v>
      </c>
      <c r="L556" s="27"/>
      <c r="M556" s="27"/>
      <c r="N556" s="27"/>
      <c r="O556" s="27"/>
      <c r="P556" s="124"/>
    </row>
    <row r="557" spans="2:16" x14ac:dyDescent="0.2">
      <c r="B557" s="123"/>
      <c r="C557" s="165" t="s">
        <v>256</v>
      </c>
      <c r="D557" s="165" t="s">
        <v>242</v>
      </c>
      <c r="E557" s="165" t="b">
        <v>1</v>
      </c>
      <c r="F557" s="165" t="s">
        <v>232</v>
      </c>
      <c r="G557" s="165" t="s">
        <v>233</v>
      </c>
      <c r="H557" s="41" t="str">
        <f t="shared" si="38"/>
        <v>New Forest|Lowland|TRUE|700to900|FreeDrain</v>
      </c>
      <c r="I557" s="119">
        <v>9.0707765434041118E-2</v>
      </c>
      <c r="J557" s="44">
        <v>10.743548802658296</v>
      </c>
      <c r="K557" s="36" t="str">
        <f t="shared" si="39"/>
        <v>Lowland|700to900</v>
      </c>
      <c r="L557" s="27"/>
      <c r="M557" s="27"/>
      <c r="N557" s="27"/>
      <c r="O557" s="27"/>
      <c r="P557" s="124"/>
    </row>
    <row r="558" spans="2:16" x14ac:dyDescent="0.2">
      <c r="B558" s="123"/>
      <c r="C558" s="165" t="s">
        <v>256</v>
      </c>
      <c r="D558" s="165" t="s">
        <v>242</v>
      </c>
      <c r="E558" s="165" t="b">
        <v>0</v>
      </c>
      <c r="F558" s="165" t="s">
        <v>232</v>
      </c>
      <c r="G558" s="165" t="s">
        <v>234</v>
      </c>
      <c r="H558" s="41" t="str">
        <f t="shared" si="38"/>
        <v>New Forest|Lowland|FALSE|700to900|DrainedAr</v>
      </c>
      <c r="I558" s="119">
        <v>0.13288260404032884</v>
      </c>
      <c r="J558" s="44">
        <v>8.4178535521205937</v>
      </c>
      <c r="K558" s="36" t="str">
        <f t="shared" si="39"/>
        <v>Lowland|700to900</v>
      </c>
      <c r="L558" s="27"/>
      <c r="M558" s="27"/>
      <c r="N558" s="27"/>
      <c r="O558" s="27"/>
      <c r="P558" s="124"/>
    </row>
    <row r="559" spans="2:16" x14ac:dyDescent="0.2">
      <c r="B559" s="123"/>
      <c r="C559" s="165" t="s">
        <v>256</v>
      </c>
      <c r="D559" s="165" t="s">
        <v>242</v>
      </c>
      <c r="E559" s="165" t="b">
        <v>1</v>
      </c>
      <c r="F559" s="165" t="s">
        <v>232</v>
      </c>
      <c r="G559" s="165" t="s">
        <v>234</v>
      </c>
      <c r="H559" s="41" t="str">
        <f t="shared" si="38"/>
        <v>New Forest|Lowland|TRUE|700to900|DrainedAr</v>
      </c>
      <c r="I559" s="119">
        <v>0.13288232975698666</v>
      </c>
      <c r="J559" s="44">
        <v>8.3639159052944656</v>
      </c>
      <c r="K559" s="36" t="str">
        <f t="shared" si="39"/>
        <v>Lowland|700to900</v>
      </c>
      <c r="L559" s="27"/>
      <c r="M559" s="27"/>
      <c r="N559" s="27"/>
      <c r="O559" s="27"/>
      <c r="P559" s="124"/>
    </row>
    <row r="560" spans="2:16" x14ac:dyDescent="0.2">
      <c r="B560" s="123"/>
      <c r="C560" s="165" t="s">
        <v>256</v>
      </c>
      <c r="D560" s="165" t="s">
        <v>242</v>
      </c>
      <c r="E560" s="165" t="b">
        <v>0</v>
      </c>
      <c r="F560" s="165" t="s">
        <v>232</v>
      </c>
      <c r="G560" s="165" t="s">
        <v>235</v>
      </c>
      <c r="H560" s="41" t="str">
        <f t="shared" si="38"/>
        <v>New Forest|Lowland|FALSE|700to900|DrainedArGr</v>
      </c>
      <c r="I560" s="119">
        <v>0.54174226664884384</v>
      </c>
      <c r="J560" s="44">
        <v>5.4868825191051798</v>
      </c>
      <c r="K560" s="36" t="str">
        <f t="shared" si="39"/>
        <v>Lowland|700to900</v>
      </c>
      <c r="L560" s="27"/>
      <c r="M560" s="27"/>
      <c r="N560" s="27"/>
      <c r="O560" s="27"/>
      <c r="P560" s="124"/>
    </row>
    <row r="561" spans="2:16" x14ac:dyDescent="0.2">
      <c r="B561" s="123"/>
      <c r="C561" s="165" t="s">
        <v>256</v>
      </c>
      <c r="D561" s="165" t="s">
        <v>242</v>
      </c>
      <c r="E561" s="165" t="b">
        <v>1</v>
      </c>
      <c r="F561" s="165" t="s">
        <v>232</v>
      </c>
      <c r="G561" s="165" t="s">
        <v>235</v>
      </c>
      <c r="H561" s="41" t="str">
        <f t="shared" si="38"/>
        <v>New Forest|Lowland|TRUE|700to900|DrainedArGr</v>
      </c>
      <c r="I561" s="119">
        <v>0.54171465075813663</v>
      </c>
      <c r="J561" s="44">
        <v>5.4723099343374937</v>
      </c>
      <c r="K561" s="36" t="str">
        <f t="shared" si="39"/>
        <v>Lowland|700to900</v>
      </c>
      <c r="L561" s="27"/>
      <c r="M561" s="27"/>
      <c r="N561" s="27"/>
      <c r="O561" s="27"/>
      <c r="P561" s="124"/>
    </row>
    <row r="562" spans="2:16" x14ac:dyDescent="0.2">
      <c r="B562" s="123"/>
      <c r="C562" s="165" t="s">
        <v>256</v>
      </c>
      <c r="D562" s="165" t="s">
        <v>242</v>
      </c>
      <c r="E562" s="165" t="b">
        <v>0</v>
      </c>
      <c r="F562" s="165" t="s">
        <v>236</v>
      </c>
      <c r="G562" s="165" t="s">
        <v>235</v>
      </c>
      <c r="H562" s="41" t="str">
        <f t="shared" si="38"/>
        <v>New Forest|Lowland|FALSE|900to1200|DrainedArGr</v>
      </c>
      <c r="I562" s="119">
        <v>0.94601411251737555</v>
      </c>
      <c r="J562" s="44">
        <v>7.3933491669193243</v>
      </c>
      <c r="K562" s="36" t="str">
        <f t="shared" si="39"/>
        <v>Lowland|900to1200</v>
      </c>
      <c r="L562" s="27"/>
      <c r="M562" s="27"/>
      <c r="N562" s="27"/>
      <c r="O562" s="27"/>
      <c r="P562" s="124"/>
    </row>
    <row r="563" spans="2:16" x14ac:dyDescent="0.2">
      <c r="B563" s="123"/>
      <c r="C563" s="165" t="s">
        <v>256</v>
      </c>
      <c r="D563" s="165" t="s">
        <v>242</v>
      </c>
      <c r="E563" s="165" t="b">
        <v>1</v>
      </c>
      <c r="F563" s="165" t="s">
        <v>236</v>
      </c>
      <c r="G563" s="165" t="s">
        <v>235</v>
      </c>
      <c r="H563" s="41" t="str">
        <f t="shared" si="38"/>
        <v>New Forest|Lowland|TRUE|900to1200|DrainedArGr</v>
      </c>
      <c r="I563" s="119">
        <v>0.94597897868102954</v>
      </c>
      <c r="J563" s="44">
        <v>7.3779778010497932</v>
      </c>
      <c r="K563" s="36" t="str">
        <f t="shared" si="39"/>
        <v>Lowland|900to1200</v>
      </c>
      <c r="L563" s="27"/>
      <c r="M563" s="27"/>
      <c r="N563" s="27"/>
      <c r="O563" s="27"/>
      <c r="P563" s="124"/>
    </row>
    <row r="564" spans="2:16" x14ac:dyDescent="0.2">
      <c r="B564" s="123"/>
      <c r="C564" s="165" t="s">
        <v>256</v>
      </c>
      <c r="D564" s="165" t="s">
        <v>243</v>
      </c>
      <c r="E564" s="165" t="b">
        <v>0</v>
      </c>
      <c r="F564" s="165" t="s">
        <v>232</v>
      </c>
      <c r="G564" s="165" t="s">
        <v>234</v>
      </c>
      <c r="H564" s="41" t="str">
        <f t="shared" si="38"/>
        <v>New Forest|Mixed|FALSE|700to900|DrainedAr</v>
      </c>
      <c r="I564" s="119">
        <v>0.39594767450437973</v>
      </c>
      <c r="J564" s="44">
        <v>18.208891492106002</v>
      </c>
      <c r="K564" s="36" t="str">
        <f t="shared" si="39"/>
        <v>Mixed|700to900</v>
      </c>
      <c r="L564" s="27"/>
      <c r="M564" s="27"/>
      <c r="N564" s="27"/>
      <c r="O564" s="27"/>
      <c r="P564" s="124"/>
    </row>
    <row r="565" spans="2:16" x14ac:dyDescent="0.2">
      <c r="B565" s="123"/>
      <c r="C565" s="165" t="s">
        <v>256</v>
      </c>
      <c r="D565" s="165" t="s">
        <v>243</v>
      </c>
      <c r="E565" s="165" t="b">
        <v>1</v>
      </c>
      <c r="F565" s="165" t="s">
        <v>232</v>
      </c>
      <c r="G565" s="165" t="s">
        <v>234</v>
      </c>
      <c r="H565" s="41" t="str">
        <f t="shared" si="38"/>
        <v>New Forest|Mixed|TRUE|700to900|DrainedAr</v>
      </c>
      <c r="I565" s="119">
        <v>0.39339373935563737</v>
      </c>
      <c r="J565" s="44">
        <v>17.952360585486979</v>
      </c>
      <c r="K565" s="36" t="str">
        <f t="shared" si="39"/>
        <v>Mixed|700to900</v>
      </c>
      <c r="L565" s="27"/>
      <c r="M565" s="27"/>
      <c r="N565" s="27"/>
      <c r="O565" s="27"/>
      <c r="P565" s="124"/>
    </row>
    <row r="566" spans="2:16" x14ac:dyDescent="0.2">
      <c r="B566" s="123"/>
      <c r="C566" s="165" t="s">
        <v>256</v>
      </c>
      <c r="D566" s="165" t="s">
        <v>243</v>
      </c>
      <c r="E566" s="165" t="b">
        <v>0</v>
      </c>
      <c r="F566" s="165" t="s">
        <v>232</v>
      </c>
      <c r="G566" s="165" t="s">
        <v>235</v>
      </c>
      <c r="H566" s="41" t="str">
        <f t="shared" si="38"/>
        <v>New Forest|Mixed|FALSE|700to900|DrainedArGr</v>
      </c>
      <c r="I566" s="119">
        <v>0.83111680551367861</v>
      </c>
      <c r="J566" s="44">
        <v>14.142119249842287</v>
      </c>
      <c r="K566" s="36" t="str">
        <f t="shared" si="39"/>
        <v>Mixed|700to900</v>
      </c>
      <c r="L566" s="27"/>
      <c r="M566" s="27"/>
      <c r="N566" s="27"/>
      <c r="O566" s="27"/>
      <c r="P566" s="124"/>
    </row>
    <row r="567" spans="2:16" x14ac:dyDescent="0.2">
      <c r="B567" s="123"/>
      <c r="C567" s="165" t="s">
        <v>256</v>
      </c>
      <c r="D567" s="165" t="s">
        <v>243</v>
      </c>
      <c r="E567" s="165" t="b">
        <v>1</v>
      </c>
      <c r="F567" s="165" t="s">
        <v>236</v>
      </c>
      <c r="G567" s="165" t="s">
        <v>235</v>
      </c>
      <c r="H567" s="41" t="str">
        <f t="shared" si="38"/>
        <v>New Forest|Mixed|TRUE|900to1200|DrainedArGr</v>
      </c>
      <c r="I567" s="119">
        <v>1.3556338326258142</v>
      </c>
      <c r="J567" s="44">
        <v>16.518242849442952</v>
      </c>
      <c r="K567" s="36" t="str">
        <f t="shared" si="39"/>
        <v>Mixed|900to1200</v>
      </c>
      <c r="L567" s="27"/>
      <c r="M567" s="27"/>
      <c r="N567" s="27"/>
      <c r="O567" s="27"/>
      <c r="P567" s="124"/>
    </row>
    <row r="568" spans="2:16" x14ac:dyDescent="0.2">
      <c r="B568" s="123"/>
      <c r="C568" s="165" t="s">
        <v>257</v>
      </c>
      <c r="D568" s="165" t="s">
        <v>117</v>
      </c>
      <c r="E568" s="165" t="b">
        <v>1</v>
      </c>
      <c r="F568" s="165" t="s">
        <v>232</v>
      </c>
      <c r="G568" s="165" t="s">
        <v>233</v>
      </c>
      <c r="H568" s="41" t="str">
        <f t="shared" si="38"/>
        <v>Test and Itchen|Cereals|TRUE|700to900|FreeDrain</v>
      </c>
      <c r="I568" s="119">
        <v>0.10123285712992566</v>
      </c>
      <c r="J568" s="44">
        <v>28.213556444047562</v>
      </c>
      <c r="K568" s="36" t="str">
        <f t="shared" si="39"/>
        <v>Cereals|700to900</v>
      </c>
      <c r="L568" s="27"/>
      <c r="M568" s="27"/>
      <c r="N568" s="27"/>
      <c r="O568" s="27"/>
      <c r="P568" s="124"/>
    </row>
    <row r="569" spans="2:16" x14ac:dyDescent="0.2">
      <c r="B569" s="123"/>
      <c r="C569" s="165" t="s">
        <v>257</v>
      </c>
      <c r="D569" s="165" t="s">
        <v>117</v>
      </c>
      <c r="E569" s="165" t="b">
        <v>1</v>
      </c>
      <c r="F569" s="165" t="s">
        <v>232</v>
      </c>
      <c r="G569" s="165" t="s">
        <v>234</v>
      </c>
      <c r="H569" s="41" t="str">
        <f t="shared" si="38"/>
        <v>Test and Itchen|Cereals|TRUE|700to900|DrainedAr</v>
      </c>
      <c r="I569" s="119">
        <v>0.67575600827453375</v>
      </c>
      <c r="J569" s="44">
        <v>21.695064988564212</v>
      </c>
      <c r="K569" s="36" t="str">
        <f t="shared" si="39"/>
        <v>Cereals|700to900</v>
      </c>
      <c r="L569" s="27"/>
      <c r="M569" s="27"/>
      <c r="N569" s="27"/>
      <c r="O569" s="27"/>
      <c r="P569" s="124"/>
    </row>
    <row r="570" spans="2:16" x14ac:dyDescent="0.2">
      <c r="B570" s="123"/>
      <c r="C570" s="165" t="s">
        <v>257</v>
      </c>
      <c r="D570" s="165" t="s">
        <v>117</v>
      </c>
      <c r="E570" s="165" t="b">
        <v>1</v>
      </c>
      <c r="F570" s="165" t="s">
        <v>232</v>
      </c>
      <c r="G570" s="165" t="s">
        <v>235</v>
      </c>
      <c r="H570" s="41" t="str">
        <f t="shared" si="38"/>
        <v>Test and Itchen|Cereals|TRUE|700to900|DrainedArGr</v>
      </c>
      <c r="I570" s="119">
        <v>0.92038133850389803</v>
      </c>
      <c r="J570" s="44">
        <v>20.304731676766018</v>
      </c>
      <c r="K570" s="36" t="str">
        <f t="shared" si="39"/>
        <v>Cereals|700to900</v>
      </c>
      <c r="L570" s="27"/>
      <c r="M570" s="27"/>
      <c r="N570" s="27"/>
      <c r="O570" s="27"/>
      <c r="P570" s="124"/>
    </row>
    <row r="571" spans="2:16" x14ac:dyDescent="0.2">
      <c r="B571" s="123"/>
      <c r="C571" s="165" t="s">
        <v>257</v>
      </c>
      <c r="D571" s="165" t="s">
        <v>117</v>
      </c>
      <c r="E571" s="165" t="b">
        <v>1</v>
      </c>
      <c r="F571" s="165" t="s">
        <v>236</v>
      </c>
      <c r="G571" s="165" t="s">
        <v>233</v>
      </c>
      <c r="H571" s="41" t="str">
        <f t="shared" si="38"/>
        <v>Test and Itchen|Cereals|TRUE|900to1200|FreeDrain</v>
      </c>
      <c r="I571" s="119">
        <v>0.17537117103942373</v>
      </c>
      <c r="J571" s="44">
        <v>30.01670610917331</v>
      </c>
      <c r="K571" s="36" t="str">
        <f t="shared" si="39"/>
        <v>Cereals|900to1200</v>
      </c>
      <c r="L571" s="27"/>
      <c r="M571" s="27"/>
      <c r="N571" s="27"/>
      <c r="O571" s="27"/>
      <c r="P571" s="124"/>
    </row>
    <row r="572" spans="2:16" x14ac:dyDescent="0.2">
      <c r="B572" s="123"/>
      <c r="C572" s="165" t="s">
        <v>257</v>
      </c>
      <c r="D572" s="165" t="s">
        <v>117</v>
      </c>
      <c r="E572" s="165" t="b">
        <v>1</v>
      </c>
      <c r="F572" s="165" t="s">
        <v>236</v>
      </c>
      <c r="G572" s="165" t="s">
        <v>234</v>
      </c>
      <c r="H572" s="41" t="str">
        <f t="shared" si="38"/>
        <v>Test and Itchen|Cereals|TRUE|900to1200|DrainedAr</v>
      </c>
      <c r="I572" s="119">
        <v>1.2782172449507698</v>
      </c>
      <c r="J572" s="44">
        <v>27.711252413617821</v>
      </c>
      <c r="K572" s="36" t="str">
        <f t="shared" si="39"/>
        <v>Cereals|900to1200</v>
      </c>
      <c r="L572" s="27"/>
      <c r="M572" s="27"/>
      <c r="N572" s="27"/>
      <c r="O572" s="27"/>
      <c r="P572" s="124"/>
    </row>
    <row r="573" spans="2:16" x14ac:dyDescent="0.2">
      <c r="B573" s="123"/>
      <c r="C573" s="165" t="s">
        <v>257</v>
      </c>
      <c r="D573" s="165" t="s">
        <v>237</v>
      </c>
      <c r="E573" s="165" t="b">
        <v>1</v>
      </c>
      <c r="F573" s="165" t="s">
        <v>232</v>
      </c>
      <c r="G573" s="165" t="s">
        <v>233</v>
      </c>
      <c r="H573" s="41" t="str">
        <f t="shared" si="38"/>
        <v>Test and Itchen|General|TRUE|700to900|FreeDrain</v>
      </c>
      <c r="I573" s="119">
        <v>7.8802101864360222E-2</v>
      </c>
      <c r="J573" s="44">
        <v>19.932754466396648</v>
      </c>
      <c r="K573" s="36" t="str">
        <f t="shared" si="39"/>
        <v>General|700to900</v>
      </c>
      <c r="L573" s="27"/>
      <c r="M573" s="27"/>
      <c r="N573" s="27"/>
      <c r="O573" s="27"/>
      <c r="P573" s="124"/>
    </row>
    <row r="574" spans="2:16" x14ac:dyDescent="0.2">
      <c r="B574" s="123"/>
      <c r="C574" s="165" t="s">
        <v>257</v>
      </c>
      <c r="D574" s="165" t="s">
        <v>237</v>
      </c>
      <c r="E574" s="165" t="b">
        <v>1</v>
      </c>
      <c r="F574" s="165" t="s">
        <v>232</v>
      </c>
      <c r="G574" s="165" t="s">
        <v>234</v>
      </c>
      <c r="H574" s="41" t="str">
        <f t="shared" si="38"/>
        <v>Test and Itchen|General|TRUE|700to900|DrainedAr</v>
      </c>
      <c r="I574" s="119">
        <v>0.45716087369349218</v>
      </c>
      <c r="J574" s="44">
        <v>15.000528546940613</v>
      </c>
      <c r="K574" s="36" t="str">
        <f t="shared" si="39"/>
        <v>General|700to900</v>
      </c>
      <c r="L574" s="27"/>
      <c r="M574" s="27"/>
      <c r="N574" s="27"/>
      <c r="O574" s="27"/>
      <c r="P574" s="124"/>
    </row>
    <row r="575" spans="2:16" x14ac:dyDescent="0.2">
      <c r="B575" s="123"/>
      <c r="C575" s="165" t="s">
        <v>257</v>
      </c>
      <c r="D575" s="165" t="s">
        <v>237</v>
      </c>
      <c r="E575" s="165" t="b">
        <v>1</v>
      </c>
      <c r="F575" s="165" t="s">
        <v>232</v>
      </c>
      <c r="G575" s="165" t="s">
        <v>235</v>
      </c>
      <c r="H575" s="41" t="str">
        <f t="shared" si="38"/>
        <v>Test and Itchen|General|TRUE|700to900|DrainedArGr</v>
      </c>
      <c r="I575" s="119">
        <v>0.69310399878473339</v>
      </c>
      <c r="J575" s="44">
        <v>13.656797123264752</v>
      </c>
      <c r="K575" s="36" t="str">
        <f t="shared" si="39"/>
        <v>General|700to900</v>
      </c>
      <c r="L575" s="27"/>
      <c r="M575" s="27"/>
      <c r="N575" s="27"/>
      <c r="O575" s="27"/>
      <c r="P575" s="124"/>
    </row>
    <row r="576" spans="2:16" x14ac:dyDescent="0.2">
      <c r="B576" s="123"/>
      <c r="C576" s="165" t="s">
        <v>257</v>
      </c>
      <c r="D576" s="165" t="s">
        <v>237</v>
      </c>
      <c r="E576" s="165" t="b">
        <v>1</v>
      </c>
      <c r="F576" s="165" t="s">
        <v>236</v>
      </c>
      <c r="G576" s="165" t="s">
        <v>233</v>
      </c>
      <c r="H576" s="41" t="str">
        <f t="shared" si="38"/>
        <v>Test and Itchen|General|TRUE|900to1200|FreeDrain</v>
      </c>
      <c r="I576" s="119">
        <v>0.13886271288467572</v>
      </c>
      <c r="J576" s="44">
        <v>21.380212732129724</v>
      </c>
      <c r="K576" s="36" t="str">
        <f t="shared" si="39"/>
        <v>General|900to1200</v>
      </c>
      <c r="L576" s="27"/>
      <c r="M576" s="27"/>
      <c r="N576" s="27"/>
      <c r="O576" s="27"/>
      <c r="P576" s="124"/>
    </row>
    <row r="577" spans="2:16" x14ac:dyDescent="0.2">
      <c r="B577" s="123"/>
      <c r="C577" s="165" t="s">
        <v>257</v>
      </c>
      <c r="D577" s="165" t="s">
        <v>237</v>
      </c>
      <c r="E577" s="165" t="b">
        <v>1</v>
      </c>
      <c r="F577" s="165" t="s">
        <v>236</v>
      </c>
      <c r="G577" s="165" t="s">
        <v>234</v>
      </c>
      <c r="H577" s="41" t="str">
        <f t="shared" si="38"/>
        <v>Test and Itchen|General|TRUE|900to1200|DrainedAr</v>
      </c>
      <c r="I577" s="119">
        <v>0.8726147867205547</v>
      </c>
      <c r="J577" s="44">
        <v>19.190189927456373</v>
      </c>
      <c r="K577" s="36" t="str">
        <f t="shared" si="39"/>
        <v>General|900to1200</v>
      </c>
      <c r="L577" s="27"/>
      <c r="M577" s="27"/>
      <c r="N577" s="27"/>
      <c r="O577" s="27"/>
      <c r="P577" s="124"/>
    </row>
    <row r="578" spans="2:16" x14ac:dyDescent="0.2">
      <c r="B578" s="123"/>
      <c r="C578" s="165" t="s">
        <v>257</v>
      </c>
      <c r="D578" s="165" t="s">
        <v>237</v>
      </c>
      <c r="E578" s="165" t="b">
        <v>1</v>
      </c>
      <c r="F578" s="165" t="s">
        <v>236</v>
      </c>
      <c r="G578" s="165" t="s">
        <v>235</v>
      </c>
      <c r="H578" s="41" t="str">
        <f t="shared" si="38"/>
        <v>Test and Itchen|General|TRUE|900to1200|DrainedArGr</v>
      </c>
      <c r="I578" s="119">
        <v>1.158619257206166</v>
      </c>
      <c r="J578" s="44">
        <v>15.866111803224904</v>
      </c>
      <c r="K578" s="36" t="str">
        <f t="shared" si="39"/>
        <v>General|900to1200</v>
      </c>
      <c r="L578" s="27"/>
      <c r="M578" s="27"/>
      <c r="N578" s="27"/>
      <c r="O578" s="27"/>
      <c r="P578" s="124"/>
    </row>
    <row r="579" spans="2:16" x14ac:dyDescent="0.2">
      <c r="B579" s="123"/>
      <c r="C579" s="165" t="s">
        <v>257</v>
      </c>
      <c r="D579" s="165" t="s">
        <v>238</v>
      </c>
      <c r="E579" s="165" t="b">
        <v>1</v>
      </c>
      <c r="F579" s="165" t="s">
        <v>232</v>
      </c>
      <c r="G579" s="165" t="s">
        <v>233</v>
      </c>
      <c r="H579" s="41" t="str">
        <f t="shared" si="38"/>
        <v>Test and Itchen|Horticulture|TRUE|700to900|FreeDrain</v>
      </c>
      <c r="I579" s="119">
        <v>8.7388683990323776E-2</v>
      </c>
      <c r="J579" s="44">
        <v>21.117883310496779</v>
      </c>
      <c r="K579" s="36" t="str">
        <f t="shared" si="39"/>
        <v>Horticulture|700to900</v>
      </c>
      <c r="L579" s="27"/>
      <c r="M579" s="27"/>
      <c r="N579" s="27"/>
      <c r="O579" s="27"/>
      <c r="P579" s="124"/>
    </row>
    <row r="580" spans="2:16" x14ac:dyDescent="0.2">
      <c r="B580" s="123"/>
      <c r="C580" s="165" t="s">
        <v>257</v>
      </c>
      <c r="D580" s="165" t="s">
        <v>238</v>
      </c>
      <c r="E580" s="165" t="b">
        <v>1</v>
      </c>
      <c r="F580" s="165" t="s">
        <v>232</v>
      </c>
      <c r="G580" s="165" t="s">
        <v>234</v>
      </c>
      <c r="H580" s="41" t="str">
        <f t="shared" si="38"/>
        <v>Test and Itchen|Horticulture|TRUE|700to900|DrainedAr</v>
      </c>
      <c r="I580" s="119">
        <v>0.56315733436638316</v>
      </c>
      <c r="J580" s="44">
        <v>15.549591193444504</v>
      </c>
      <c r="K580" s="36" t="str">
        <f t="shared" si="39"/>
        <v>Horticulture|700to900</v>
      </c>
      <c r="L580" s="27"/>
      <c r="M580" s="27"/>
      <c r="N580" s="27"/>
      <c r="O580" s="27"/>
      <c r="P580" s="124"/>
    </row>
    <row r="581" spans="2:16" x14ac:dyDescent="0.2">
      <c r="B581" s="123"/>
      <c r="C581" s="165" t="s">
        <v>257</v>
      </c>
      <c r="D581" s="165" t="s">
        <v>238</v>
      </c>
      <c r="E581" s="165" t="b">
        <v>1</v>
      </c>
      <c r="F581" s="165" t="s">
        <v>232</v>
      </c>
      <c r="G581" s="165" t="s">
        <v>235</v>
      </c>
      <c r="H581" s="41" t="str">
        <f t="shared" si="38"/>
        <v>Test and Itchen|Horticulture|TRUE|700to900|DrainedArGr</v>
      </c>
      <c r="I581" s="119">
        <v>0.80839116943791478</v>
      </c>
      <c r="J581" s="44">
        <v>13.961264348143004</v>
      </c>
      <c r="K581" s="36" t="str">
        <f t="shared" si="39"/>
        <v>Horticulture|700to900</v>
      </c>
      <c r="L581" s="27"/>
      <c r="M581" s="27"/>
      <c r="N581" s="27"/>
      <c r="O581" s="27"/>
      <c r="P581" s="124"/>
    </row>
    <row r="582" spans="2:16" x14ac:dyDescent="0.2">
      <c r="B582" s="123"/>
      <c r="C582" s="165" t="s">
        <v>257</v>
      </c>
      <c r="D582" s="165" t="s">
        <v>238</v>
      </c>
      <c r="E582" s="165" t="b">
        <v>1</v>
      </c>
      <c r="F582" s="165" t="s">
        <v>236</v>
      </c>
      <c r="G582" s="165" t="s">
        <v>233</v>
      </c>
      <c r="H582" s="41" t="str">
        <f t="shared" si="38"/>
        <v>Test and Itchen|Horticulture|TRUE|900to1200|FreeDrain</v>
      </c>
      <c r="I582" s="119">
        <v>0.1554127453533761</v>
      </c>
      <c r="J582" s="44">
        <v>22.693771643236428</v>
      </c>
      <c r="K582" s="36" t="str">
        <f t="shared" si="39"/>
        <v>Horticulture|900to1200</v>
      </c>
      <c r="L582" s="27"/>
      <c r="M582" s="27"/>
      <c r="N582" s="27"/>
      <c r="O582" s="27"/>
      <c r="P582" s="124"/>
    </row>
    <row r="583" spans="2:16" x14ac:dyDescent="0.2">
      <c r="B583" s="123"/>
      <c r="C583" s="165" t="s">
        <v>257</v>
      </c>
      <c r="D583" s="165" t="s">
        <v>238</v>
      </c>
      <c r="E583" s="165" t="b">
        <v>1</v>
      </c>
      <c r="F583" s="165" t="s">
        <v>236</v>
      </c>
      <c r="G583" s="165" t="s">
        <v>234</v>
      </c>
      <c r="H583" s="41" t="str">
        <f t="shared" si="38"/>
        <v>Test and Itchen|Horticulture|TRUE|900to1200|DrainedAr</v>
      </c>
      <c r="I583" s="119">
        <v>1.066621265544311</v>
      </c>
      <c r="J583" s="44">
        <v>19.788657802513136</v>
      </c>
      <c r="K583" s="36" t="str">
        <f t="shared" si="39"/>
        <v>Horticulture|900to1200</v>
      </c>
      <c r="L583" s="27"/>
      <c r="M583" s="27"/>
      <c r="N583" s="27"/>
      <c r="O583" s="27"/>
      <c r="P583" s="124"/>
    </row>
    <row r="584" spans="2:16" x14ac:dyDescent="0.2">
      <c r="B584" s="123"/>
      <c r="C584" s="165" t="s">
        <v>257</v>
      </c>
      <c r="D584" s="165" t="s">
        <v>238</v>
      </c>
      <c r="E584" s="165" t="b">
        <v>1</v>
      </c>
      <c r="F584" s="165" t="s">
        <v>236</v>
      </c>
      <c r="G584" s="165" t="s">
        <v>235</v>
      </c>
      <c r="H584" s="41" t="str">
        <f t="shared" si="38"/>
        <v>Test and Itchen|Horticulture|TRUE|900to1200|DrainedArGr</v>
      </c>
      <c r="I584" s="119">
        <v>1.3173128180131617</v>
      </c>
      <c r="J584" s="44">
        <v>16.005364101795969</v>
      </c>
      <c r="K584" s="36" t="str">
        <f t="shared" si="39"/>
        <v>Horticulture|900to1200</v>
      </c>
      <c r="L584" s="27"/>
      <c r="M584" s="27"/>
      <c r="N584" s="27"/>
      <c r="O584" s="27"/>
      <c r="P584" s="124"/>
    </row>
    <row r="585" spans="2:16" x14ac:dyDescent="0.2">
      <c r="B585" s="123"/>
      <c r="C585" s="165" t="s">
        <v>257</v>
      </c>
      <c r="D585" s="165" t="s">
        <v>239</v>
      </c>
      <c r="E585" s="165" t="b">
        <v>1</v>
      </c>
      <c r="F585" s="165" t="s">
        <v>232</v>
      </c>
      <c r="G585" s="165" t="s">
        <v>233</v>
      </c>
      <c r="H585" s="41" t="str">
        <f t="shared" si="38"/>
        <v>Test and Itchen|Pig|TRUE|700to900|FreeDrain</v>
      </c>
      <c r="I585" s="119">
        <v>0.1001058238943663</v>
      </c>
      <c r="J585" s="44">
        <v>63.931896005380288</v>
      </c>
      <c r="K585" s="36" t="str">
        <f t="shared" si="39"/>
        <v>Pig|700to900</v>
      </c>
      <c r="L585" s="27"/>
      <c r="M585" s="27"/>
      <c r="N585" s="27"/>
      <c r="O585" s="27"/>
      <c r="P585" s="124"/>
    </row>
    <row r="586" spans="2:16" x14ac:dyDescent="0.2">
      <c r="B586" s="123"/>
      <c r="C586" s="165" t="s">
        <v>257</v>
      </c>
      <c r="D586" s="165" t="s">
        <v>239</v>
      </c>
      <c r="E586" s="165" t="b">
        <v>1</v>
      </c>
      <c r="F586" s="165" t="s">
        <v>232</v>
      </c>
      <c r="G586" s="165" t="s">
        <v>235</v>
      </c>
      <c r="H586" s="41" t="str">
        <f t="shared" si="38"/>
        <v>Test and Itchen|Pig|TRUE|700to900|DrainedArGr</v>
      </c>
      <c r="I586" s="119">
        <v>0.91670874638887767</v>
      </c>
      <c r="J586" s="44">
        <v>36.433848543574783</v>
      </c>
      <c r="K586" s="36" t="str">
        <f t="shared" si="39"/>
        <v>Pig|700to900</v>
      </c>
      <c r="L586" s="27"/>
      <c r="M586" s="27"/>
      <c r="N586" s="27"/>
      <c r="O586" s="27"/>
      <c r="P586" s="124"/>
    </row>
    <row r="587" spans="2:16" x14ac:dyDescent="0.2">
      <c r="B587" s="123"/>
      <c r="C587" s="165" t="s">
        <v>257</v>
      </c>
      <c r="D587" s="165" t="s">
        <v>239</v>
      </c>
      <c r="E587" s="165" t="b">
        <v>1</v>
      </c>
      <c r="F587" s="165" t="s">
        <v>236</v>
      </c>
      <c r="G587" s="165" t="s">
        <v>235</v>
      </c>
      <c r="H587" s="41" t="str">
        <f t="shared" si="38"/>
        <v>Test and Itchen|Pig|TRUE|900to1200|DrainedArGr</v>
      </c>
      <c r="I587" s="119">
        <v>1.4721149986563868</v>
      </c>
      <c r="J587" s="44">
        <v>39.915385663964422</v>
      </c>
      <c r="K587" s="36" t="str">
        <f t="shared" si="39"/>
        <v>Pig|900to1200</v>
      </c>
      <c r="L587" s="27"/>
      <c r="M587" s="27"/>
      <c r="N587" s="27"/>
      <c r="O587" s="27"/>
      <c r="P587" s="124"/>
    </row>
    <row r="588" spans="2:16" x14ac:dyDescent="0.2">
      <c r="B588" s="123"/>
      <c r="C588" s="165" t="s">
        <v>257</v>
      </c>
      <c r="D588" s="165" t="s">
        <v>240</v>
      </c>
      <c r="E588" s="165" t="b">
        <v>1</v>
      </c>
      <c r="F588" s="165" t="s">
        <v>232</v>
      </c>
      <c r="G588" s="165" t="s">
        <v>233</v>
      </c>
      <c r="H588" s="41" t="str">
        <f t="shared" si="38"/>
        <v>Test and Itchen|Poultry|TRUE|700to900|FreeDrain</v>
      </c>
      <c r="I588" s="119">
        <v>9.6627632146829637E-2</v>
      </c>
      <c r="J588" s="44">
        <v>113.7695920778644</v>
      </c>
      <c r="K588" s="36" t="str">
        <f t="shared" si="39"/>
        <v>Poultry|700to900</v>
      </c>
      <c r="L588" s="27"/>
      <c r="M588" s="27"/>
      <c r="N588" s="27"/>
      <c r="O588" s="27"/>
      <c r="P588" s="124"/>
    </row>
    <row r="589" spans="2:16" x14ac:dyDescent="0.2">
      <c r="B589" s="123"/>
      <c r="C589" s="165" t="s">
        <v>257</v>
      </c>
      <c r="D589" s="165" t="s">
        <v>240</v>
      </c>
      <c r="E589" s="165" t="b">
        <v>1</v>
      </c>
      <c r="F589" s="165" t="s">
        <v>232</v>
      </c>
      <c r="G589" s="165" t="s">
        <v>235</v>
      </c>
      <c r="H589" s="41" t="str">
        <f t="shared" si="38"/>
        <v>Test and Itchen|Poultry|TRUE|700to900|DrainedArGr</v>
      </c>
      <c r="I589" s="119">
        <v>0.76711740664328099</v>
      </c>
      <c r="J589" s="44">
        <v>59.727377229758922</v>
      </c>
      <c r="K589" s="36" t="str">
        <f t="shared" si="39"/>
        <v>Poultry|700to900</v>
      </c>
      <c r="L589" s="27"/>
      <c r="M589" s="27"/>
      <c r="N589" s="27"/>
      <c r="O589" s="27"/>
      <c r="P589" s="124"/>
    </row>
    <row r="590" spans="2:16" x14ac:dyDescent="0.2">
      <c r="B590" s="123"/>
      <c r="C590" s="165" t="s">
        <v>257</v>
      </c>
      <c r="D590" s="165" t="s">
        <v>240</v>
      </c>
      <c r="E590" s="165" t="b">
        <v>0</v>
      </c>
      <c r="F590" s="165" t="s">
        <v>236</v>
      </c>
      <c r="G590" s="165" t="s">
        <v>233</v>
      </c>
      <c r="H590" s="41" t="str">
        <f t="shared" si="38"/>
        <v>Test and Itchen|Poultry|FALSE|900to1200|FreeDrain</v>
      </c>
      <c r="I590" s="119">
        <v>0.15911890908016019</v>
      </c>
      <c r="J590" s="44">
        <v>118.86368829004392</v>
      </c>
      <c r="K590" s="36" t="str">
        <f t="shared" si="39"/>
        <v>Poultry|900to1200</v>
      </c>
      <c r="L590" s="27"/>
      <c r="M590" s="27"/>
      <c r="N590" s="27"/>
      <c r="O590" s="27"/>
      <c r="P590" s="124"/>
    </row>
    <row r="591" spans="2:16" x14ac:dyDescent="0.2">
      <c r="B591" s="123"/>
      <c r="C591" s="165" t="s">
        <v>257</v>
      </c>
      <c r="D591" s="165" t="s">
        <v>240</v>
      </c>
      <c r="E591" s="165" t="b">
        <v>1</v>
      </c>
      <c r="F591" s="165" t="s">
        <v>236</v>
      </c>
      <c r="G591" s="165" t="s">
        <v>233</v>
      </c>
      <c r="H591" s="41" t="str">
        <f t="shared" si="38"/>
        <v>Test and Itchen|Poultry|TRUE|900to1200|FreeDrain</v>
      </c>
      <c r="I591" s="119">
        <v>0.15651928868389703</v>
      </c>
      <c r="J591" s="44">
        <v>119.35718239385002</v>
      </c>
      <c r="K591" s="36" t="str">
        <f t="shared" si="39"/>
        <v>Poultry|900to1200</v>
      </c>
      <c r="L591" s="27"/>
      <c r="M591" s="27"/>
      <c r="N591" s="27"/>
      <c r="O591" s="27"/>
      <c r="P591" s="124"/>
    </row>
    <row r="592" spans="2:16" x14ac:dyDescent="0.2">
      <c r="B592" s="123"/>
      <c r="C592" s="165" t="s">
        <v>257</v>
      </c>
      <c r="D592" s="165" t="s">
        <v>240</v>
      </c>
      <c r="E592" s="165" t="b">
        <v>1</v>
      </c>
      <c r="F592" s="165" t="s">
        <v>236</v>
      </c>
      <c r="G592" s="165" t="s">
        <v>234</v>
      </c>
      <c r="H592" s="41" t="str">
        <f t="shared" si="38"/>
        <v>Test and Itchen|Poultry|TRUE|900to1200|DrainedAr</v>
      </c>
      <c r="I592" s="119">
        <v>0.80456570463843846</v>
      </c>
      <c r="J592" s="44">
        <v>89.75520999556214</v>
      </c>
      <c r="K592" s="36" t="str">
        <f t="shared" si="39"/>
        <v>Poultry|900to1200</v>
      </c>
      <c r="L592" s="27"/>
      <c r="M592" s="27"/>
      <c r="N592" s="27"/>
      <c r="O592" s="27"/>
      <c r="P592" s="124"/>
    </row>
    <row r="593" spans="2:16" x14ac:dyDescent="0.2">
      <c r="B593" s="123"/>
      <c r="C593" s="165" t="s">
        <v>257</v>
      </c>
      <c r="D593" s="165" t="s">
        <v>240</v>
      </c>
      <c r="E593" s="165" t="b">
        <v>1</v>
      </c>
      <c r="F593" s="165" t="s">
        <v>236</v>
      </c>
      <c r="G593" s="165" t="s">
        <v>235</v>
      </c>
      <c r="H593" s="41" t="str">
        <f t="shared" si="38"/>
        <v>Test and Itchen|Poultry|TRUE|900to1200|DrainedArGr</v>
      </c>
      <c r="I593" s="119">
        <v>1.2599788251842787</v>
      </c>
      <c r="J593" s="44">
        <v>64.756794155824991</v>
      </c>
      <c r="K593" s="36" t="str">
        <f t="shared" si="39"/>
        <v>Poultry|900to1200</v>
      </c>
      <c r="L593" s="27"/>
      <c r="M593" s="27"/>
      <c r="N593" s="27"/>
      <c r="O593" s="27"/>
      <c r="P593" s="124"/>
    </row>
    <row r="594" spans="2:16" x14ac:dyDescent="0.2">
      <c r="B594" s="123"/>
      <c r="C594" s="165" t="s">
        <v>257</v>
      </c>
      <c r="D594" s="165" t="s">
        <v>241</v>
      </c>
      <c r="E594" s="165" t="b">
        <v>1</v>
      </c>
      <c r="F594" s="165" t="s">
        <v>232</v>
      </c>
      <c r="G594" s="165" t="s">
        <v>233</v>
      </c>
      <c r="H594" s="41" t="str">
        <f t="shared" si="38"/>
        <v>Test and Itchen|Dairy|TRUE|700to900|FreeDrain</v>
      </c>
      <c r="I594" s="119">
        <v>0.10772080518522946</v>
      </c>
      <c r="J594" s="44">
        <v>40.761600382413789</v>
      </c>
      <c r="K594" s="36" t="str">
        <f t="shared" si="39"/>
        <v>Dairy|700to900</v>
      </c>
      <c r="L594" s="27"/>
      <c r="M594" s="27"/>
      <c r="N594" s="27"/>
      <c r="O594" s="27"/>
      <c r="P594" s="124"/>
    </row>
    <row r="595" spans="2:16" x14ac:dyDescent="0.2">
      <c r="B595" s="123"/>
      <c r="C595" s="165" t="s">
        <v>257</v>
      </c>
      <c r="D595" s="165" t="s">
        <v>241</v>
      </c>
      <c r="E595" s="165" t="b">
        <v>1</v>
      </c>
      <c r="F595" s="165" t="s">
        <v>232</v>
      </c>
      <c r="G595" s="165" t="s">
        <v>235</v>
      </c>
      <c r="H595" s="41" t="str">
        <f t="shared" si="38"/>
        <v>Test and Itchen|Dairy|TRUE|700to900|DrainedArGr</v>
      </c>
      <c r="I595" s="119">
        <v>1.1131409197836983</v>
      </c>
      <c r="J595" s="44">
        <v>18.586364935756862</v>
      </c>
      <c r="K595" s="36" t="str">
        <f t="shared" si="39"/>
        <v>Dairy|700to900</v>
      </c>
      <c r="L595" s="27"/>
      <c r="M595" s="27"/>
      <c r="N595" s="27"/>
      <c r="O595" s="27"/>
      <c r="P595" s="124"/>
    </row>
    <row r="596" spans="2:16" x14ac:dyDescent="0.2">
      <c r="B596" s="123"/>
      <c r="C596" s="165" t="s">
        <v>257</v>
      </c>
      <c r="D596" s="165" t="s">
        <v>242</v>
      </c>
      <c r="E596" s="165" t="b">
        <v>1</v>
      </c>
      <c r="F596" s="165" t="s">
        <v>232</v>
      </c>
      <c r="G596" s="165" t="s">
        <v>233</v>
      </c>
      <c r="H596" s="41" t="str">
        <f t="shared" si="38"/>
        <v>Test and Itchen|Lowland|TRUE|700to900|FreeDrain</v>
      </c>
      <c r="I596" s="119">
        <v>6.1982789954577316E-2</v>
      </c>
      <c r="J596" s="44">
        <v>12.455621820699623</v>
      </c>
      <c r="K596" s="36" t="str">
        <f t="shared" si="39"/>
        <v>Lowland|700to900</v>
      </c>
      <c r="L596" s="27"/>
      <c r="M596" s="27"/>
      <c r="N596" s="27"/>
      <c r="O596" s="27"/>
      <c r="P596" s="124"/>
    </row>
    <row r="597" spans="2:16" x14ac:dyDescent="0.2">
      <c r="B597" s="123"/>
      <c r="C597" s="165" t="s">
        <v>257</v>
      </c>
      <c r="D597" s="165" t="s">
        <v>242</v>
      </c>
      <c r="E597" s="165" t="b">
        <v>0</v>
      </c>
      <c r="F597" s="165" t="s">
        <v>232</v>
      </c>
      <c r="G597" s="165" t="s">
        <v>234</v>
      </c>
      <c r="H597" s="41" t="str">
        <f t="shared" si="38"/>
        <v>Test and Itchen|Lowland|FALSE|700to900|DrainedAr</v>
      </c>
      <c r="I597" s="119">
        <v>0.1512833245744607</v>
      </c>
      <c r="J597" s="44">
        <v>9.7359893878467876</v>
      </c>
      <c r="K597" s="36" t="str">
        <f t="shared" si="39"/>
        <v>Lowland|700to900</v>
      </c>
      <c r="L597" s="27"/>
      <c r="M597" s="27"/>
      <c r="N597" s="27"/>
      <c r="O597" s="27"/>
      <c r="P597" s="124"/>
    </row>
    <row r="598" spans="2:16" x14ac:dyDescent="0.2">
      <c r="B598" s="123"/>
      <c r="C598" s="165" t="s">
        <v>257</v>
      </c>
      <c r="D598" s="165" t="s">
        <v>242</v>
      </c>
      <c r="E598" s="165" t="b">
        <v>1</v>
      </c>
      <c r="F598" s="165" t="s">
        <v>232</v>
      </c>
      <c r="G598" s="165" t="s">
        <v>234</v>
      </c>
      <c r="H598" s="41" t="str">
        <f t="shared" si="38"/>
        <v>Test and Itchen|Lowland|TRUE|700to900|DrainedAr</v>
      </c>
      <c r="I598" s="119">
        <v>0.15128316750267065</v>
      </c>
      <c r="J598" s="44">
        <v>9.6773587932018561</v>
      </c>
      <c r="K598" s="36" t="str">
        <f t="shared" si="39"/>
        <v>Lowland|700to900</v>
      </c>
      <c r="L598" s="27"/>
      <c r="M598" s="27"/>
      <c r="N598" s="27"/>
      <c r="O598" s="27"/>
      <c r="P598" s="124"/>
    </row>
    <row r="599" spans="2:16" x14ac:dyDescent="0.2">
      <c r="B599" s="123"/>
      <c r="C599" s="165" t="s">
        <v>257</v>
      </c>
      <c r="D599" s="165" t="s">
        <v>242</v>
      </c>
      <c r="E599" s="165" t="b">
        <v>0</v>
      </c>
      <c r="F599" s="165" t="s">
        <v>232</v>
      </c>
      <c r="G599" s="165" t="s">
        <v>235</v>
      </c>
      <c r="H599" s="41" t="str">
        <f t="shared" si="38"/>
        <v>Test and Itchen|Lowland|FALSE|700to900|DrainedArGr</v>
      </c>
      <c r="I599" s="119">
        <v>0.56353983144795572</v>
      </c>
      <c r="J599" s="44">
        <v>7.0926745449266928</v>
      </c>
      <c r="K599" s="36" t="str">
        <f t="shared" si="39"/>
        <v>Lowland|700to900</v>
      </c>
      <c r="L599" s="27"/>
      <c r="M599" s="27"/>
      <c r="N599" s="27"/>
      <c r="O599" s="27"/>
      <c r="P599" s="124"/>
    </row>
    <row r="600" spans="2:16" x14ac:dyDescent="0.2">
      <c r="B600" s="123"/>
      <c r="C600" s="165" t="s">
        <v>257</v>
      </c>
      <c r="D600" s="165" t="s">
        <v>242</v>
      </c>
      <c r="E600" s="165" t="b">
        <v>1</v>
      </c>
      <c r="F600" s="165" t="s">
        <v>232</v>
      </c>
      <c r="G600" s="165" t="s">
        <v>235</v>
      </c>
      <c r="H600" s="41" t="str">
        <f t="shared" si="38"/>
        <v>Test and Itchen|Lowland|TRUE|700to900|DrainedArGr</v>
      </c>
      <c r="I600" s="119">
        <v>0.56351196180610841</v>
      </c>
      <c r="J600" s="44">
        <v>7.0745422870603889</v>
      </c>
      <c r="K600" s="36" t="str">
        <f t="shared" si="39"/>
        <v>Lowland|700to900</v>
      </c>
      <c r="L600" s="27"/>
      <c r="M600" s="27"/>
      <c r="N600" s="27"/>
      <c r="O600" s="27"/>
      <c r="P600" s="124"/>
    </row>
    <row r="601" spans="2:16" x14ac:dyDescent="0.2">
      <c r="B601" s="123"/>
      <c r="C601" s="165" t="s">
        <v>257</v>
      </c>
      <c r="D601" s="165" t="s">
        <v>242</v>
      </c>
      <c r="E601" s="165" t="b">
        <v>0</v>
      </c>
      <c r="F601" s="165" t="s">
        <v>236</v>
      </c>
      <c r="G601" s="165" t="s">
        <v>233</v>
      </c>
      <c r="H601" s="41" t="str">
        <f t="shared" si="38"/>
        <v>Test and Itchen|Lowland|FALSE|900to1200|FreeDrain</v>
      </c>
      <c r="I601" s="119">
        <v>0.10294391019910622</v>
      </c>
      <c r="J601" s="44">
        <v>13.424709233663091</v>
      </c>
      <c r="K601" s="36" t="str">
        <f t="shared" si="39"/>
        <v>Lowland|900to1200</v>
      </c>
      <c r="L601" s="27"/>
      <c r="M601" s="27"/>
      <c r="N601" s="27"/>
      <c r="O601" s="27"/>
      <c r="P601" s="124"/>
    </row>
    <row r="602" spans="2:16" x14ac:dyDescent="0.2">
      <c r="B602" s="123"/>
      <c r="C602" s="165" t="s">
        <v>257</v>
      </c>
      <c r="D602" s="165" t="s">
        <v>242</v>
      </c>
      <c r="E602" s="165" t="b">
        <v>1</v>
      </c>
      <c r="F602" s="165" t="s">
        <v>236</v>
      </c>
      <c r="G602" s="165" t="s">
        <v>233</v>
      </c>
      <c r="H602" s="41" t="str">
        <f t="shared" si="38"/>
        <v>Test and Itchen|Lowland|TRUE|900to1200|FreeDrain</v>
      </c>
      <c r="I602" s="119">
        <v>0.10294374854070558</v>
      </c>
      <c r="J602" s="44">
        <v>13.346203845770747</v>
      </c>
      <c r="K602" s="36" t="str">
        <f t="shared" si="39"/>
        <v>Lowland|900to1200</v>
      </c>
      <c r="L602" s="27"/>
      <c r="M602" s="27"/>
      <c r="N602" s="27"/>
      <c r="O602" s="27"/>
      <c r="P602" s="124"/>
    </row>
    <row r="603" spans="2:16" x14ac:dyDescent="0.2">
      <c r="B603" s="123"/>
      <c r="C603" s="165" t="s">
        <v>257</v>
      </c>
      <c r="D603" s="165" t="s">
        <v>242</v>
      </c>
      <c r="E603" s="165" t="b">
        <v>1</v>
      </c>
      <c r="F603" s="165" t="s">
        <v>236</v>
      </c>
      <c r="G603" s="165" t="s">
        <v>234</v>
      </c>
      <c r="H603" s="41" t="str">
        <f t="shared" si="38"/>
        <v>Test and Itchen|Lowland|TRUE|900to1200|DrainedAr</v>
      </c>
      <c r="I603" s="119">
        <v>0.27975619658168266</v>
      </c>
      <c r="J603" s="44">
        <v>12.365539503829121</v>
      </c>
      <c r="K603" s="36" t="str">
        <f t="shared" si="39"/>
        <v>Lowland|900to1200</v>
      </c>
      <c r="L603" s="27"/>
      <c r="M603" s="27"/>
      <c r="N603" s="27"/>
      <c r="O603" s="27"/>
      <c r="P603" s="124"/>
    </row>
    <row r="604" spans="2:16" x14ac:dyDescent="0.2">
      <c r="B604" s="123"/>
      <c r="C604" s="165" t="s">
        <v>257</v>
      </c>
      <c r="D604" s="165" t="s">
        <v>242</v>
      </c>
      <c r="E604" s="165" t="b">
        <v>1</v>
      </c>
      <c r="F604" s="165" t="s">
        <v>236</v>
      </c>
      <c r="G604" s="165" t="s">
        <v>235</v>
      </c>
      <c r="H604" s="41" t="str">
        <f t="shared" si="38"/>
        <v>Test and Itchen|Lowland|TRUE|900to1200|DrainedArGr</v>
      </c>
      <c r="I604" s="119">
        <v>0.9637522777433668</v>
      </c>
      <c r="J604" s="44">
        <v>9.3045429402143238</v>
      </c>
      <c r="K604" s="36" t="str">
        <f t="shared" si="39"/>
        <v>Lowland|900to1200</v>
      </c>
      <c r="L604" s="27"/>
      <c r="M604" s="27"/>
      <c r="N604" s="27"/>
      <c r="O604" s="27"/>
      <c r="P604" s="124"/>
    </row>
    <row r="605" spans="2:16" x14ac:dyDescent="0.2">
      <c r="B605" s="123"/>
      <c r="C605" s="165" t="s">
        <v>257</v>
      </c>
      <c r="D605" s="165" t="s">
        <v>243</v>
      </c>
      <c r="E605" s="165" t="b">
        <v>1</v>
      </c>
      <c r="F605" s="165" t="s">
        <v>232</v>
      </c>
      <c r="G605" s="165" t="s">
        <v>233</v>
      </c>
      <c r="H605" s="41" t="str">
        <f t="shared" si="38"/>
        <v>Test and Itchen|Mixed|TRUE|700to900|FreeDrain</v>
      </c>
      <c r="I605" s="119">
        <v>9.4162290904751686E-2</v>
      </c>
      <c r="J605" s="44">
        <v>26.02852702464169</v>
      </c>
      <c r="K605" s="36" t="str">
        <f t="shared" si="39"/>
        <v>Mixed|700to900</v>
      </c>
      <c r="L605" s="27"/>
      <c r="M605" s="27"/>
      <c r="N605" s="27"/>
      <c r="O605" s="27"/>
      <c r="P605" s="124"/>
    </row>
    <row r="606" spans="2:16" x14ac:dyDescent="0.2">
      <c r="B606" s="123"/>
      <c r="C606" s="165" t="s">
        <v>257</v>
      </c>
      <c r="D606" s="165" t="s">
        <v>243</v>
      </c>
      <c r="E606" s="165" t="b">
        <v>1</v>
      </c>
      <c r="F606" s="165" t="s">
        <v>232</v>
      </c>
      <c r="G606" s="165" t="s">
        <v>234</v>
      </c>
      <c r="H606" s="41" t="str">
        <f t="shared" si="38"/>
        <v>Test and Itchen|Mixed|TRUE|700to900|DrainedAr</v>
      </c>
      <c r="I606" s="119">
        <v>0.53118971014169047</v>
      </c>
      <c r="J606" s="44">
        <v>19.942162336777603</v>
      </c>
      <c r="K606" s="36" t="str">
        <f t="shared" si="39"/>
        <v>Mixed|700to900</v>
      </c>
      <c r="L606" s="27"/>
      <c r="M606" s="27"/>
      <c r="N606" s="27"/>
      <c r="O606" s="27"/>
      <c r="P606" s="124"/>
    </row>
    <row r="607" spans="2:16" x14ac:dyDescent="0.2">
      <c r="B607" s="123"/>
      <c r="C607" s="165" t="s">
        <v>257</v>
      </c>
      <c r="D607" s="165" t="s">
        <v>243</v>
      </c>
      <c r="E607" s="165" t="b">
        <v>1</v>
      </c>
      <c r="F607" s="165" t="s">
        <v>232</v>
      </c>
      <c r="G607" s="165" t="s">
        <v>235</v>
      </c>
      <c r="H607" s="41" t="str">
        <f t="shared" si="38"/>
        <v>Test and Itchen|Mixed|TRUE|700to900|DrainedArGr</v>
      </c>
      <c r="I607" s="119">
        <v>0.8817278521759141</v>
      </c>
      <c r="J607" s="44">
        <v>17.195689790365009</v>
      </c>
      <c r="K607" s="36" t="str">
        <f t="shared" si="39"/>
        <v>Mixed|700to900</v>
      </c>
      <c r="L607" s="27"/>
      <c r="M607" s="27"/>
      <c r="N607" s="27"/>
      <c r="O607" s="27"/>
      <c r="P607" s="124"/>
    </row>
    <row r="608" spans="2:16" x14ac:dyDescent="0.2">
      <c r="B608" s="123"/>
      <c r="C608" s="165" t="s">
        <v>257</v>
      </c>
      <c r="D608" s="165" t="s">
        <v>243</v>
      </c>
      <c r="E608" s="165" t="b">
        <v>1</v>
      </c>
      <c r="F608" s="165" t="s">
        <v>236</v>
      </c>
      <c r="G608" s="165" t="s">
        <v>233</v>
      </c>
      <c r="H608" s="41" t="str">
        <f t="shared" si="38"/>
        <v>Test and Itchen|Mixed|TRUE|900to1200|FreeDrain</v>
      </c>
      <c r="I608" s="119">
        <v>0.16177784768361331</v>
      </c>
      <c r="J608" s="44">
        <v>27.670660925943057</v>
      </c>
      <c r="K608" s="36" t="str">
        <f t="shared" si="39"/>
        <v>Mixed|900to1200</v>
      </c>
      <c r="L608" s="27"/>
      <c r="M608" s="27"/>
      <c r="N608" s="27"/>
      <c r="O608" s="27"/>
      <c r="P608" s="124"/>
    </row>
    <row r="609" spans="2:16" x14ac:dyDescent="0.2">
      <c r="B609" s="123"/>
      <c r="C609" s="165" t="s">
        <v>257</v>
      </c>
      <c r="D609" s="165" t="s">
        <v>243</v>
      </c>
      <c r="E609" s="165" t="b">
        <v>1</v>
      </c>
      <c r="F609" s="165" t="s">
        <v>236</v>
      </c>
      <c r="G609" s="165" t="s">
        <v>234</v>
      </c>
      <c r="H609" s="41" t="str">
        <f t="shared" si="38"/>
        <v>Test and Itchen|Mixed|TRUE|900to1200|DrainedAr</v>
      </c>
      <c r="I609" s="119">
        <v>1.0084697614717304</v>
      </c>
      <c r="J609" s="44">
        <v>25.153395811186577</v>
      </c>
      <c r="K609" s="36" t="str">
        <f t="shared" si="39"/>
        <v>Mixed|900to1200</v>
      </c>
      <c r="L609" s="27"/>
      <c r="M609" s="27"/>
      <c r="N609" s="27"/>
      <c r="O609" s="27"/>
      <c r="P609" s="124"/>
    </row>
    <row r="610" spans="2:16" x14ac:dyDescent="0.2">
      <c r="B610" s="123"/>
      <c r="C610" s="165" t="s">
        <v>257</v>
      </c>
      <c r="D610" s="165" t="s">
        <v>243</v>
      </c>
      <c r="E610" s="165" t="b">
        <v>1</v>
      </c>
      <c r="F610" s="165" t="s">
        <v>236</v>
      </c>
      <c r="G610" s="165" t="s">
        <v>235</v>
      </c>
      <c r="H610" s="41" t="str">
        <f t="shared" si="38"/>
        <v>Test and Itchen|Mixed|TRUE|900to1200|DrainedArGr</v>
      </c>
      <c r="I610" s="119">
        <v>1.4504553577461408</v>
      </c>
      <c r="J610" s="44">
        <v>20.087057011928184</v>
      </c>
      <c r="K610" s="36" t="str">
        <f t="shared" si="39"/>
        <v>Mixed|900to1200</v>
      </c>
      <c r="L610" s="27"/>
      <c r="M610" s="27"/>
      <c r="N610" s="27"/>
      <c r="O610" s="27"/>
      <c r="P610" s="124"/>
    </row>
    <row r="611" spans="2:16" x14ac:dyDescent="0.2">
      <c r="B611" s="123"/>
      <c r="C611" s="165" t="s">
        <v>258</v>
      </c>
      <c r="D611" s="165" t="s">
        <v>258</v>
      </c>
      <c r="E611" s="165" t="s">
        <v>258</v>
      </c>
      <c r="F611" s="165" t="s">
        <v>258</v>
      </c>
      <c r="G611" s="180" t="s">
        <v>259</v>
      </c>
      <c r="H611" s="41" t="str">
        <f>"|"&amp;"|"&amp;"|"&amp;G611</f>
        <v>|||Greenspace</v>
      </c>
      <c r="I611" s="181">
        <v>0.02</v>
      </c>
      <c r="J611" s="34">
        <v>3</v>
      </c>
      <c r="K611" s="26"/>
      <c r="L611" s="26"/>
      <c r="M611" s="26"/>
      <c r="N611" s="26"/>
      <c r="O611" s="26"/>
      <c r="P611" s="124"/>
    </row>
    <row r="612" spans="2:16" x14ac:dyDescent="0.2">
      <c r="B612" s="123"/>
      <c r="C612" s="165" t="s">
        <v>258</v>
      </c>
      <c r="D612" s="165" t="s">
        <v>258</v>
      </c>
      <c r="E612" s="165" t="s">
        <v>258</v>
      </c>
      <c r="F612" s="165" t="s">
        <v>258</v>
      </c>
      <c r="G612" s="180" t="s">
        <v>260</v>
      </c>
      <c r="H612" s="41" t="str">
        <f>"|"&amp;"|"&amp;"|"&amp;G612</f>
        <v>|||Community food growing</v>
      </c>
      <c r="I612" s="166">
        <f>IFERROR(VLOOKUP((VLOOKUP('Stage 2'!$E$9,Lookups!$C$648:$D$656,2,FALSE)&amp;"|"&amp;"General"&amp;"|"&amp;"FALSE"&amp;"|"&amp;VLOOKUP('Stage 2'!$E$11,Lookups!$C$622:$E$644,3,FALSE)&amp;"|"&amp;"FreeDrain"),$H$94:$O$354,2,FALSE), IFERROR(VLOOKUP("General"&amp;"|"&amp;VLOOKUP('Stage 2'!$E$11,Lookups!$C$622:$E$644,3,FALSE),$K$94:$O$354,2,FALSE),VLOOKUP("General",D94:O354,11,FALSE)))</f>
        <v>0.42605138186280683</v>
      </c>
      <c r="J612" s="167">
        <f>IFERROR(VLOOKUP((VLOOKUP('Stage 2'!$E$9,Lookups!$C$648:$D$656,2,FALSE)&amp;"|"&amp;"General"&amp;"|"&amp;"FALSE"&amp;"|"&amp;VLOOKUP('Stage 2'!$E$11,Lookups!$C$622:$E$644,3,FALSE)&amp;"|"&amp;"FreeDrain"),$H$94:$O$354,3,FALSE), IFERROR(VLOOKUP("General"&amp;"|"&amp;VLOOKUP('Stage 2'!$E$11,Lookups!$C$622:$E$644,3,FALSE),$K$94:$O$354,3,FALSE),VLOOKUP("General",D94:O354,12,FALSE)))</f>
        <v>16.419173411450149</v>
      </c>
      <c r="K612" s="26"/>
      <c r="L612" s="26"/>
      <c r="M612" s="26"/>
      <c r="N612" s="26"/>
      <c r="O612" s="26"/>
      <c r="P612" s="124"/>
    </row>
    <row r="613" spans="2:16" x14ac:dyDescent="0.2">
      <c r="B613" s="123"/>
      <c r="C613" s="165" t="s">
        <v>258</v>
      </c>
      <c r="D613" s="165" t="s">
        <v>258</v>
      </c>
      <c r="E613" s="165" t="s">
        <v>258</v>
      </c>
      <c r="F613" s="165" t="s">
        <v>258</v>
      </c>
      <c r="G613" s="180" t="s">
        <v>122</v>
      </c>
      <c r="H613" s="41" t="str">
        <f>"|"&amp;"|"&amp;"|"&amp;G613</f>
        <v>|||Woodland</v>
      </c>
      <c r="I613" s="181">
        <v>0.02</v>
      </c>
      <c r="J613" s="34">
        <v>3</v>
      </c>
      <c r="K613" s="26"/>
      <c r="L613" s="26"/>
      <c r="M613" s="26"/>
      <c r="N613" s="26"/>
      <c r="O613" s="26"/>
      <c r="P613" s="124"/>
    </row>
    <row r="614" spans="2:16" x14ac:dyDescent="0.2">
      <c r="B614" s="123"/>
      <c r="C614" s="165" t="s">
        <v>258</v>
      </c>
      <c r="D614" s="165" t="s">
        <v>258</v>
      </c>
      <c r="E614" s="165" t="s">
        <v>258</v>
      </c>
      <c r="F614" s="165" t="s">
        <v>258</v>
      </c>
      <c r="G614" s="180" t="s">
        <v>261</v>
      </c>
      <c r="H614" s="41" t="str">
        <f>"|"&amp;"|"&amp;"|"&amp;G614</f>
        <v>|||Shrub</v>
      </c>
      <c r="I614" s="181">
        <v>0.02</v>
      </c>
      <c r="J614" s="34">
        <v>3</v>
      </c>
      <c r="K614" s="26"/>
      <c r="L614" s="26"/>
      <c r="M614" s="26"/>
      <c r="N614" s="26"/>
      <c r="O614" s="26"/>
      <c r="P614" s="124"/>
    </row>
    <row r="615" spans="2:16" x14ac:dyDescent="0.2">
      <c r="B615" s="123"/>
      <c r="C615" s="165" t="s">
        <v>258</v>
      </c>
      <c r="D615" s="165" t="s">
        <v>258</v>
      </c>
      <c r="E615" s="165" t="s">
        <v>258</v>
      </c>
      <c r="F615" s="165" t="s">
        <v>258</v>
      </c>
      <c r="G615" s="180" t="s">
        <v>262</v>
      </c>
      <c r="H615" s="41" t="str">
        <f>"|"&amp;"|"&amp;"|"&amp;G615</f>
        <v>|||Water</v>
      </c>
      <c r="I615" s="181">
        <v>0</v>
      </c>
      <c r="J615" s="34">
        <v>0</v>
      </c>
      <c r="K615" s="26"/>
      <c r="L615" s="26"/>
      <c r="M615" s="26"/>
      <c r="N615" s="26"/>
      <c r="O615" s="26"/>
      <c r="P615" s="124"/>
    </row>
    <row r="616" spans="2:16" x14ac:dyDescent="0.2">
      <c r="B616" s="123"/>
      <c r="C616" s="165" t="s">
        <v>258</v>
      </c>
      <c r="D616" s="165" t="s">
        <v>258</v>
      </c>
      <c r="E616" s="165" t="s">
        <v>258</v>
      </c>
      <c r="F616" s="165" t="s">
        <v>258</v>
      </c>
      <c r="G616" s="41" t="s">
        <v>263</v>
      </c>
      <c r="H616" s="41" t="str">
        <f t="shared" ref="H616:H618" si="40">"|"&amp;"|"&amp;"|"&amp;G616</f>
        <v>|||Residential urban land</v>
      </c>
      <c r="I616" s="119" t="e">
        <f>VLOOKUP('Stage 2'!E11,Lookups!C622:H644,6,FALSE)</f>
        <v>#N/A</v>
      </c>
      <c r="J616" s="34" t="e">
        <f>VLOOKUP('Stage 2'!E11,Lookups!C622:K644,9,FALSE)</f>
        <v>#N/A</v>
      </c>
      <c r="K616" s="26"/>
      <c r="L616" s="26"/>
      <c r="M616" s="26"/>
      <c r="N616" s="26"/>
      <c r="O616" s="26"/>
      <c r="P616" s="124"/>
    </row>
    <row r="617" spans="2:16" x14ac:dyDescent="0.2">
      <c r="B617" s="123"/>
      <c r="C617" s="165" t="s">
        <v>258</v>
      </c>
      <c r="D617" s="165" t="s">
        <v>258</v>
      </c>
      <c r="E617" s="165" t="s">
        <v>258</v>
      </c>
      <c r="F617" s="165" t="s">
        <v>258</v>
      </c>
      <c r="G617" s="41" t="s">
        <v>264</v>
      </c>
      <c r="H617" s="41" t="str">
        <f t="shared" si="40"/>
        <v>|||Commercial/industrial urban land</v>
      </c>
      <c r="I617" s="119" t="e">
        <f>VLOOKUP('Stage 2'!E11,Lookups!C622:I644,7,FALSE)</f>
        <v>#N/A</v>
      </c>
      <c r="J617" s="34" t="e">
        <f>VLOOKUP('Stage 2'!E11,Lookups!C622:M644,10,FALSE)</f>
        <v>#N/A</v>
      </c>
      <c r="K617" s="26"/>
      <c r="L617" s="26"/>
      <c r="M617" s="26"/>
      <c r="N617" s="26"/>
      <c r="O617" s="26"/>
      <c r="P617" s="124"/>
    </row>
    <row r="618" spans="2:16" x14ac:dyDescent="0.2">
      <c r="B618" s="123"/>
      <c r="C618" s="165" t="s">
        <v>258</v>
      </c>
      <c r="D618" s="165" t="s">
        <v>258</v>
      </c>
      <c r="E618" s="165" t="s">
        <v>258</v>
      </c>
      <c r="F618" s="165" t="s">
        <v>258</v>
      </c>
      <c r="G618" s="41" t="s">
        <v>265</v>
      </c>
      <c r="H618" s="41" t="str">
        <f t="shared" si="40"/>
        <v>|||Open urban land</v>
      </c>
      <c r="I618" s="119" t="e">
        <f>VLOOKUP('Stage 2'!E11,Lookups!C622:J644,8,FALSE)</f>
        <v>#N/A</v>
      </c>
      <c r="J618" s="34" t="e">
        <f>VLOOKUP('Stage 2'!E11,Lookups!C622:P644,11,FALSE)</f>
        <v>#N/A</v>
      </c>
      <c r="K618" s="26"/>
      <c r="L618" s="26"/>
      <c r="M618" s="26"/>
      <c r="N618" s="26"/>
      <c r="O618" s="26"/>
      <c r="P618" s="124"/>
    </row>
    <row r="619" spans="2:16" x14ac:dyDescent="0.2">
      <c r="B619" s="123"/>
      <c r="C619" s="26"/>
      <c r="D619" s="26"/>
      <c r="E619" s="26"/>
      <c r="F619" s="26"/>
      <c r="G619" s="26"/>
      <c r="H619" s="26"/>
      <c r="I619" s="27"/>
      <c r="J619" s="27"/>
      <c r="K619" s="26"/>
      <c r="L619" s="26"/>
      <c r="M619" s="26"/>
      <c r="N619" s="26"/>
      <c r="O619" s="26"/>
      <c r="P619" s="124"/>
    </row>
    <row r="620" spans="2:16" x14ac:dyDescent="0.2">
      <c r="B620" s="123"/>
      <c r="C620" s="26" t="s">
        <v>266</v>
      </c>
      <c r="D620" s="26"/>
      <c r="E620" s="26"/>
      <c r="F620" s="26"/>
      <c r="G620" s="26"/>
      <c r="H620" s="26"/>
      <c r="I620" s="27"/>
      <c r="J620" s="27"/>
      <c r="K620" s="26"/>
      <c r="L620" s="26"/>
      <c r="M620" s="26"/>
      <c r="N620" s="26"/>
      <c r="O620" s="26"/>
      <c r="P620" s="124"/>
    </row>
    <row r="621" spans="2:16" ht="30.75" thickBot="1" x14ac:dyDescent="0.25">
      <c r="B621" s="123"/>
      <c r="C621" s="32" t="s">
        <v>267</v>
      </c>
      <c r="D621" s="42" t="s">
        <v>268</v>
      </c>
      <c r="E621" s="42" t="s">
        <v>269</v>
      </c>
      <c r="F621" s="42" t="s">
        <v>270</v>
      </c>
      <c r="G621" s="42" t="s">
        <v>271</v>
      </c>
      <c r="H621" s="42" t="s">
        <v>272</v>
      </c>
      <c r="I621" s="42" t="s">
        <v>273</v>
      </c>
      <c r="J621" s="42" t="s">
        <v>274</v>
      </c>
      <c r="K621" s="42" t="s">
        <v>275</v>
      </c>
      <c r="L621" s="32" t="s">
        <v>276</v>
      </c>
      <c r="M621" s="121" t="s">
        <v>277</v>
      </c>
      <c r="N621" s="15"/>
      <c r="O621" s="15"/>
      <c r="P621" s="124"/>
    </row>
    <row r="622" spans="2:16" ht="15" thickTop="1" x14ac:dyDescent="0.2">
      <c r="B622" s="123"/>
      <c r="C622" s="43" t="s">
        <v>278</v>
      </c>
      <c r="D622" s="166">
        <v>516.5</v>
      </c>
      <c r="E622" s="45" t="s">
        <v>279</v>
      </c>
      <c r="F622" s="166">
        <v>47.366326420209788</v>
      </c>
      <c r="G622" s="166">
        <v>63.946326420209786</v>
      </c>
      <c r="H622" s="166">
        <v>1.0030530114375726</v>
      </c>
      <c r="I622" s="166">
        <v>0.73394122788115068</v>
      </c>
      <c r="J622" s="166">
        <v>0.5382235671128438</v>
      </c>
      <c r="K622" s="166">
        <v>9.4130591148709328</v>
      </c>
      <c r="L622" s="168">
        <v>5.0202981945978298</v>
      </c>
      <c r="M622" s="167">
        <v>5.5487506361344439</v>
      </c>
      <c r="N622" s="169"/>
      <c r="O622" s="169"/>
      <c r="P622" s="124"/>
    </row>
    <row r="623" spans="2:16" x14ac:dyDescent="0.2">
      <c r="B623" s="123"/>
      <c r="C623" s="43" t="s">
        <v>280</v>
      </c>
      <c r="D623" s="166">
        <v>537.54999999999995</v>
      </c>
      <c r="E623" s="45" t="s">
        <v>279</v>
      </c>
      <c r="F623" s="166">
        <v>47.605509573313697</v>
      </c>
      <c r="G623" s="166">
        <v>64.185509573313695</v>
      </c>
      <c r="H623" s="166">
        <v>1.049204008516526</v>
      </c>
      <c r="I623" s="166">
        <v>0.76771025013404326</v>
      </c>
      <c r="J623" s="166">
        <v>0.56298751676496517</v>
      </c>
      <c r="K623" s="166">
        <v>9.8333323912734105</v>
      </c>
      <c r="L623" s="168">
        <v>5.2444439420124853</v>
      </c>
      <c r="M623" s="167">
        <v>5.7964906727506413</v>
      </c>
      <c r="N623" s="169"/>
      <c r="O623" s="169"/>
      <c r="P623" s="124"/>
    </row>
    <row r="624" spans="2:16" x14ac:dyDescent="0.2">
      <c r="B624" s="123"/>
      <c r="C624" s="43" t="s">
        <v>281</v>
      </c>
      <c r="D624" s="166">
        <v>562.54999999999995</v>
      </c>
      <c r="E624" s="45" t="s">
        <v>279</v>
      </c>
      <c r="F624" s="166">
        <v>47.8624816470968</v>
      </c>
      <c r="G624" s="166">
        <v>64.442481647096798</v>
      </c>
      <c r="H624" s="166">
        <v>1.1039266010735462</v>
      </c>
      <c r="I624" s="166">
        <v>0.80775117151722908</v>
      </c>
      <c r="J624" s="166">
        <v>0.59235085911263463</v>
      </c>
      <c r="K624" s="166">
        <v>10.331853644413675</v>
      </c>
      <c r="L624" s="168">
        <v>5.5103219436872939</v>
      </c>
      <c r="M624" s="167">
        <v>6.0903558324964822</v>
      </c>
      <c r="N624" s="169"/>
      <c r="O624" s="169"/>
      <c r="P624" s="124"/>
    </row>
    <row r="625" spans="2:16" x14ac:dyDescent="0.2">
      <c r="B625" s="123"/>
      <c r="C625" s="43" t="s">
        <v>282</v>
      </c>
      <c r="D625" s="166">
        <v>587.54999999999995</v>
      </c>
      <c r="E625" s="45" t="s">
        <v>279</v>
      </c>
      <c r="F625" s="166">
        <v>48.089720428979902</v>
      </c>
      <c r="G625" s="166">
        <v>64.6697204289799</v>
      </c>
      <c r="H625" s="166">
        <v>1.1584597247599329</v>
      </c>
      <c r="I625" s="166">
        <v>0.84765345714141427</v>
      </c>
      <c r="J625" s="166">
        <v>0.62161253523703719</v>
      </c>
      <c r="K625" s="166">
        <v>10.829057857843434</v>
      </c>
      <c r="L625" s="168">
        <v>5.775497524183165</v>
      </c>
      <c r="M625" s="167">
        <v>6.3834446319919191</v>
      </c>
      <c r="N625" s="169"/>
      <c r="O625" s="169"/>
      <c r="P625" s="124"/>
    </row>
    <row r="626" spans="2:16" x14ac:dyDescent="0.2">
      <c r="B626" s="123"/>
      <c r="C626" s="43" t="s">
        <v>283</v>
      </c>
      <c r="D626" s="166">
        <v>612.54999999999995</v>
      </c>
      <c r="E626" s="45" t="s">
        <v>252</v>
      </c>
      <c r="F626" s="166">
        <v>48.286892468962989</v>
      </c>
      <c r="G626" s="166">
        <v>64.866892468962988</v>
      </c>
      <c r="H626" s="166">
        <v>1.2127035752563942</v>
      </c>
      <c r="I626" s="166">
        <v>0.88734407945589822</v>
      </c>
      <c r="J626" s="166">
        <v>0.650718991600992</v>
      </c>
      <c r="K626" s="166">
        <v>11.324251269831036</v>
      </c>
      <c r="L626" s="168">
        <v>6.0396006772432189</v>
      </c>
      <c r="M626" s="167">
        <v>6.6753481169530309</v>
      </c>
      <c r="N626" s="169"/>
      <c r="O626" s="169"/>
      <c r="P626" s="124"/>
    </row>
    <row r="627" spans="2:16" x14ac:dyDescent="0.2">
      <c r="B627" s="123"/>
      <c r="C627" s="43" t="s">
        <v>284</v>
      </c>
      <c r="D627" s="166">
        <v>637.54999999999995</v>
      </c>
      <c r="E627" s="45" t="s">
        <v>252</v>
      </c>
      <c r="F627" s="166">
        <v>48.453664317046091</v>
      </c>
      <c r="G627" s="166">
        <v>65.033664317046089</v>
      </c>
      <c r="H627" s="166">
        <v>1.2665569810986419</v>
      </c>
      <c r="I627" s="166">
        <v>0.92674901055998193</v>
      </c>
      <c r="J627" s="166">
        <v>0.67961594107732015</v>
      </c>
      <c r="K627" s="166">
        <v>11.816730615319829</v>
      </c>
      <c r="L627" s="168">
        <v>6.302256328170575</v>
      </c>
      <c r="M627" s="167">
        <v>6.9656517311358979</v>
      </c>
      <c r="N627" s="169"/>
      <c r="O627" s="169"/>
      <c r="P627" s="124"/>
    </row>
    <row r="628" spans="2:16" x14ac:dyDescent="0.2">
      <c r="B628" s="123"/>
      <c r="C628" s="43" t="s">
        <v>285</v>
      </c>
      <c r="D628" s="166">
        <v>662.55</v>
      </c>
      <c r="E628" s="45" t="s">
        <v>252</v>
      </c>
      <c r="F628" s="166">
        <v>48.589702523229192</v>
      </c>
      <c r="G628" s="166">
        <v>65.169702523229191</v>
      </c>
      <c r="H628" s="166">
        <v>1.3199174036773855</v>
      </c>
      <c r="I628" s="166">
        <v>0.96579322220296504</v>
      </c>
      <c r="J628" s="166">
        <v>0.70824836294884108</v>
      </c>
      <c r="K628" s="166">
        <v>12.305783125928167</v>
      </c>
      <c r="L628" s="168">
        <v>6.5630843338283551</v>
      </c>
      <c r="M628" s="167">
        <v>7.2539353163366025</v>
      </c>
      <c r="N628" s="169"/>
      <c r="O628" s="169"/>
      <c r="P628" s="124"/>
    </row>
    <row r="629" spans="2:16" x14ac:dyDescent="0.2">
      <c r="B629" s="123"/>
      <c r="C629" s="43" t="s">
        <v>286</v>
      </c>
      <c r="D629" s="166">
        <v>687.55</v>
      </c>
      <c r="E629" s="45" t="s">
        <v>252</v>
      </c>
      <c r="F629" s="166">
        <v>48.694673637512295</v>
      </c>
      <c r="G629" s="166">
        <v>65.274673637512294</v>
      </c>
      <c r="H629" s="166">
        <v>1.3726809372383346</v>
      </c>
      <c r="I629" s="166">
        <v>1.0044006857841474</v>
      </c>
      <c r="J629" s="166">
        <v>0.73656050290837471</v>
      </c>
      <c r="K629" s="166">
        <v>12.790686529949399</v>
      </c>
      <c r="L629" s="168">
        <v>6.82169948263968</v>
      </c>
      <c r="M629" s="167">
        <v>7.5397731123912237</v>
      </c>
      <c r="N629" s="169"/>
      <c r="O629" s="169"/>
      <c r="P629" s="124"/>
    </row>
    <row r="630" spans="2:16" x14ac:dyDescent="0.2">
      <c r="B630" s="123"/>
      <c r="C630" s="43" t="s">
        <v>287</v>
      </c>
      <c r="D630" s="166">
        <v>725.05</v>
      </c>
      <c r="E630" s="45" t="s">
        <v>232</v>
      </c>
      <c r="F630" s="166">
        <v>48.793150089749446</v>
      </c>
      <c r="G630" s="166">
        <v>65.373150089749444</v>
      </c>
      <c r="H630" s="166">
        <v>1.4504764123754863</v>
      </c>
      <c r="I630" s="166">
        <v>1.0613242041771849</v>
      </c>
      <c r="J630" s="166">
        <v>0.77830441639660242</v>
      </c>
      <c r="K630" s="166">
        <v>13.508658704683258</v>
      </c>
      <c r="L630" s="168">
        <v>7.20461797583107</v>
      </c>
      <c r="M630" s="167">
        <v>7.9629988153922353</v>
      </c>
      <c r="N630" s="169"/>
      <c r="O630" s="169"/>
      <c r="P630" s="124"/>
    </row>
    <row r="631" spans="2:16" x14ac:dyDescent="0.2">
      <c r="B631" s="123"/>
      <c r="C631" s="43" t="s">
        <v>288</v>
      </c>
      <c r="D631" s="166">
        <v>775.05</v>
      </c>
      <c r="E631" s="45" t="s">
        <v>232</v>
      </c>
      <c r="F631" s="166">
        <v>48.817999999999984</v>
      </c>
      <c r="G631" s="166">
        <v>65.397999999999982</v>
      </c>
      <c r="H631" s="166">
        <v>1.5512920268999992</v>
      </c>
      <c r="I631" s="166">
        <v>1.1350917269999994</v>
      </c>
      <c r="J631" s="166">
        <v>0.83240059979999959</v>
      </c>
      <c r="K631" s="166">
        <v>14.445715171499996</v>
      </c>
      <c r="L631" s="168">
        <v>7.7043814247999975</v>
      </c>
      <c r="M631" s="167">
        <v>8.5153689431999986</v>
      </c>
      <c r="N631" s="169"/>
      <c r="O631" s="169"/>
      <c r="P631" s="124"/>
    </row>
    <row r="632" spans="2:16" x14ac:dyDescent="0.2">
      <c r="B632" s="123"/>
      <c r="C632" s="43" t="s">
        <v>289</v>
      </c>
      <c r="D632" s="166">
        <v>825.05</v>
      </c>
      <c r="E632" s="45" t="s">
        <v>232</v>
      </c>
      <c r="F632" s="166">
        <v>48.817999999999984</v>
      </c>
      <c r="G632" s="166">
        <v>65.397999999999982</v>
      </c>
      <c r="H632" s="166">
        <v>1.6513689268999994</v>
      </c>
      <c r="I632" s="166">
        <v>1.2083187269999995</v>
      </c>
      <c r="J632" s="166">
        <v>0.88610039979999966</v>
      </c>
      <c r="K632" s="166">
        <v>15.377636671499994</v>
      </c>
      <c r="L632" s="168">
        <v>8.2014062247999959</v>
      </c>
      <c r="M632" s="167">
        <v>9.064712143199996</v>
      </c>
      <c r="N632" s="169"/>
      <c r="O632" s="169"/>
      <c r="P632" s="124"/>
    </row>
    <row r="633" spans="2:16" x14ac:dyDescent="0.2">
      <c r="B633" s="123"/>
      <c r="C633" s="43" t="s">
        <v>290</v>
      </c>
      <c r="D633" s="166">
        <v>875.05</v>
      </c>
      <c r="E633" s="45" t="s">
        <v>232</v>
      </c>
      <c r="F633" s="166">
        <v>48.817999999999984</v>
      </c>
      <c r="G633" s="166">
        <v>65.397999999999982</v>
      </c>
      <c r="H633" s="166">
        <v>1.7514458268999995</v>
      </c>
      <c r="I633" s="166">
        <v>1.2815457269999997</v>
      </c>
      <c r="J633" s="166">
        <v>0.93980019979999974</v>
      </c>
      <c r="K633" s="166">
        <v>16.309558171499994</v>
      </c>
      <c r="L633" s="168">
        <v>8.6984310247999979</v>
      </c>
      <c r="M633" s="167">
        <v>9.6140553431999969</v>
      </c>
      <c r="N633" s="169"/>
      <c r="O633" s="169"/>
      <c r="P633" s="124"/>
    </row>
    <row r="634" spans="2:16" x14ac:dyDescent="0.2">
      <c r="B634" s="123"/>
      <c r="C634" s="43" t="s">
        <v>111</v>
      </c>
      <c r="D634" s="166">
        <v>925.05</v>
      </c>
      <c r="E634" s="45" t="s">
        <v>236</v>
      </c>
      <c r="F634" s="166">
        <v>48.817999999999984</v>
      </c>
      <c r="G634" s="166">
        <v>65.397999999999982</v>
      </c>
      <c r="H634" s="166">
        <v>1.851522726899999</v>
      </c>
      <c r="I634" s="166">
        <v>1.3547727269999992</v>
      </c>
      <c r="J634" s="166">
        <v>0.99349999979999948</v>
      </c>
      <c r="K634" s="166">
        <v>17.241479671499995</v>
      </c>
      <c r="L634" s="168">
        <v>9.1954558247999962</v>
      </c>
      <c r="M634" s="167">
        <v>10.163398543199996</v>
      </c>
      <c r="N634" s="169"/>
      <c r="O634" s="169"/>
      <c r="P634" s="124"/>
    </row>
    <row r="635" spans="2:16" x14ac:dyDescent="0.2">
      <c r="B635" s="123"/>
      <c r="C635" s="43" t="s">
        <v>291</v>
      </c>
      <c r="D635" s="166">
        <v>975.05</v>
      </c>
      <c r="E635" s="45" t="s">
        <v>236</v>
      </c>
      <c r="F635" s="166">
        <v>48.817999999999984</v>
      </c>
      <c r="G635" s="166">
        <v>65.397999999999982</v>
      </c>
      <c r="H635" s="166">
        <v>1.9515996268999991</v>
      </c>
      <c r="I635" s="166">
        <v>1.4279997269999993</v>
      </c>
      <c r="J635" s="166">
        <v>1.0471997997999996</v>
      </c>
      <c r="K635" s="166">
        <v>18.173401171499993</v>
      </c>
      <c r="L635" s="168">
        <v>9.6924806247999964</v>
      </c>
      <c r="M635" s="167">
        <v>10.712741743199995</v>
      </c>
      <c r="N635" s="169"/>
      <c r="O635" s="169"/>
      <c r="P635" s="124"/>
    </row>
    <row r="636" spans="2:16" x14ac:dyDescent="0.2">
      <c r="B636" s="123"/>
      <c r="C636" s="43" t="s">
        <v>292</v>
      </c>
      <c r="D636" s="166">
        <v>1050.05</v>
      </c>
      <c r="E636" s="45" t="s">
        <v>236</v>
      </c>
      <c r="F636" s="166">
        <v>48.817999999999984</v>
      </c>
      <c r="G636" s="166">
        <v>65.397999999999982</v>
      </c>
      <c r="H636" s="166">
        <v>2.101714976899999</v>
      </c>
      <c r="I636" s="166">
        <v>1.5378402269999993</v>
      </c>
      <c r="J636" s="166">
        <v>1.1277494997999997</v>
      </c>
      <c r="K636" s="166">
        <v>19.571283421499995</v>
      </c>
      <c r="L636" s="168">
        <v>10.438017824799996</v>
      </c>
      <c r="M636" s="167">
        <v>11.536756543199996</v>
      </c>
      <c r="N636" s="169"/>
      <c r="O636" s="169"/>
      <c r="P636" s="124"/>
    </row>
    <row r="637" spans="2:16" x14ac:dyDescent="0.2">
      <c r="B637" s="123"/>
      <c r="C637" s="43" t="s">
        <v>293</v>
      </c>
      <c r="D637" s="166">
        <v>1150.05</v>
      </c>
      <c r="E637" s="45" t="s">
        <v>236</v>
      </c>
      <c r="F637" s="166">
        <v>48.817999999999984</v>
      </c>
      <c r="G637" s="166">
        <v>65.397999999999982</v>
      </c>
      <c r="H637" s="166">
        <v>2.3018687768999988</v>
      </c>
      <c r="I637" s="166">
        <v>1.6842942269999992</v>
      </c>
      <c r="J637" s="166">
        <v>1.2351490997999994</v>
      </c>
      <c r="K637" s="166">
        <v>21.435126421499994</v>
      </c>
      <c r="L637" s="168">
        <v>11.432067424799996</v>
      </c>
      <c r="M637" s="167">
        <v>12.635442943199996</v>
      </c>
      <c r="N637" s="169"/>
      <c r="O637" s="169"/>
      <c r="P637" s="124"/>
    </row>
    <row r="638" spans="2:16" x14ac:dyDescent="0.2">
      <c r="B638" s="123"/>
      <c r="C638" s="43" t="s">
        <v>294</v>
      </c>
      <c r="D638" s="166">
        <v>1300.05</v>
      </c>
      <c r="E638" s="45" t="s">
        <v>295</v>
      </c>
      <c r="F638" s="166">
        <v>48.817999999999984</v>
      </c>
      <c r="G638" s="166">
        <v>65.397999999999982</v>
      </c>
      <c r="H638" s="166">
        <v>2.602099476899999</v>
      </c>
      <c r="I638" s="166">
        <v>1.9039752269999992</v>
      </c>
      <c r="J638" s="166">
        <v>1.3962484997999995</v>
      </c>
      <c r="K638" s="166">
        <v>24.230890921499991</v>
      </c>
      <c r="L638" s="168">
        <v>12.923141824799995</v>
      </c>
      <c r="M638" s="167">
        <v>14.283472543199993</v>
      </c>
      <c r="N638" s="169"/>
      <c r="O638" s="169"/>
      <c r="P638" s="124"/>
    </row>
    <row r="639" spans="2:16" x14ac:dyDescent="0.2">
      <c r="B639" s="123"/>
      <c r="C639" s="43" t="s">
        <v>296</v>
      </c>
      <c r="D639" s="166">
        <v>1500.05</v>
      </c>
      <c r="E639" s="45" t="s">
        <v>295</v>
      </c>
      <c r="F639" s="166">
        <v>48.817999999999984</v>
      </c>
      <c r="G639" s="166">
        <v>65.397999999999982</v>
      </c>
      <c r="H639" s="166">
        <v>3.0024070768999986</v>
      </c>
      <c r="I639" s="166">
        <v>2.1968832269999989</v>
      </c>
      <c r="J639" s="166">
        <v>1.6110476997999994</v>
      </c>
      <c r="K639" s="166">
        <v>27.95857692149999</v>
      </c>
      <c r="L639" s="168">
        <v>14.911241024799995</v>
      </c>
      <c r="M639" s="167">
        <v>16.480845343199995</v>
      </c>
      <c r="N639" s="169"/>
      <c r="O639" s="169"/>
      <c r="P639" s="124"/>
    </row>
    <row r="640" spans="2:16" x14ac:dyDescent="0.2">
      <c r="B640" s="123"/>
      <c r="C640" s="43" t="s">
        <v>297</v>
      </c>
      <c r="D640" s="166">
        <v>1800.05</v>
      </c>
      <c r="E640" s="45" t="s">
        <v>244</v>
      </c>
      <c r="F640" s="166">
        <v>48.817999999999984</v>
      </c>
      <c r="G640" s="166">
        <v>65.397999999999982</v>
      </c>
      <c r="H640" s="166">
        <v>3.6028684768999981</v>
      </c>
      <c r="I640" s="166">
        <v>2.6362452269999985</v>
      </c>
      <c r="J640" s="166">
        <v>1.9332464997999992</v>
      </c>
      <c r="K640" s="166">
        <v>33.550105921499991</v>
      </c>
      <c r="L640" s="168">
        <v>17.893389824799996</v>
      </c>
      <c r="M640" s="167">
        <v>19.776904543199993</v>
      </c>
      <c r="N640" s="169"/>
      <c r="O640" s="169"/>
      <c r="P640" s="124"/>
    </row>
    <row r="641" spans="2:16" x14ac:dyDescent="0.2">
      <c r="B641" s="123"/>
      <c r="C641" s="43" t="s">
        <v>298</v>
      </c>
      <c r="D641" s="166">
        <v>2200.0500000000002</v>
      </c>
      <c r="E641" s="45" t="s">
        <v>244</v>
      </c>
      <c r="F641" s="166">
        <v>48.817999999999984</v>
      </c>
      <c r="G641" s="166">
        <v>65.397999999999982</v>
      </c>
      <c r="H641" s="166">
        <v>4.4034836768999988</v>
      </c>
      <c r="I641" s="166">
        <v>3.2220612269999993</v>
      </c>
      <c r="J641" s="166">
        <v>2.3628448997999998</v>
      </c>
      <c r="K641" s="166">
        <v>41.005477921499988</v>
      </c>
      <c r="L641" s="168">
        <v>21.869588224799994</v>
      </c>
      <c r="M641" s="167">
        <v>24.17165014319999</v>
      </c>
      <c r="N641" s="169"/>
      <c r="O641" s="169"/>
      <c r="P641" s="124"/>
    </row>
    <row r="642" spans="2:16" x14ac:dyDescent="0.2">
      <c r="B642" s="123"/>
      <c r="C642" s="43" t="s">
        <v>299</v>
      </c>
      <c r="D642" s="166">
        <v>2700.05</v>
      </c>
      <c r="E642" s="45" t="s">
        <v>244</v>
      </c>
      <c r="F642" s="166">
        <v>48.817999999999984</v>
      </c>
      <c r="G642" s="166">
        <v>65.397999999999982</v>
      </c>
      <c r="H642" s="166">
        <v>5.4042526768999988</v>
      </c>
      <c r="I642" s="166">
        <v>3.9543312269999986</v>
      </c>
      <c r="J642" s="166">
        <v>2.8998428997999994</v>
      </c>
      <c r="K642" s="166">
        <v>50.324692921499988</v>
      </c>
      <c r="L642" s="168">
        <v>26.839836224799992</v>
      </c>
      <c r="M642" s="167">
        <v>29.665082143199992</v>
      </c>
      <c r="N642" s="169"/>
      <c r="O642" s="169"/>
      <c r="P642" s="124"/>
    </row>
    <row r="643" spans="2:16" x14ac:dyDescent="0.2">
      <c r="B643" s="123"/>
      <c r="C643" s="43" t="s">
        <v>300</v>
      </c>
      <c r="D643" s="166">
        <v>3500.05</v>
      </c>
      <c r="E643" s="45" t="s">
        <v>244</v>
      </c>
      <c r="F643" s="166">
        <v>48.817999999999984</v>
      </c>
      <c r="G643" s="166">
        <v>65.397999999999982</v>
      </c>
      <c r="H643" s="166">
        <v>7.0054830768999983</v>
      </c>
      <c r="I643" s="166">
        <v>5.1259632269999988</v>
      </c>
      <c r="J643" s="166">
        <v>3.7590396997999993</v>
      </c>
      <c r="K643" s="166">
        <v>65.235436921499982</v>
      </c>
      <c r="L643" s="168">
        <v>34.792233024799991</v>
      </c>
      <c r="M643" s="167">
        <v>38.454573343199982</v>
      </c>
      <c r="N643" s="169"/>
      <c r="O643" s="169"/>
      <c r="P643" s="124"/>
    </row>
    <row r="644" spans="2:16" x14ac:dyDescent="0.2">
      <c r="B644" s="123"/>
      <c r="C644" s="43" t="s">
        <v>301</v>
      </c>
      <c r="D644" s="166">
        <v>4750.05</v>
      </c>
      <c r="E644" s="45" t="s">
        <v>244</v>
      </c>
      <c r="F644" s="166">
        <v>48.817999999999984</v>
      </c>
      <c r="G644" s="166">
        <v>65.397999999999982</v>
      </c>
      <c r="H644" s="166">
        <v>9.5074055768999965</v>
      </c>
      <c r="I644" s="166">
        <v>6.9566382269999973</v>
      </c>
      <c r="J644" s="166">
        <v>5.1015346997999984</v>
      </c>
      <c r="K644" s="166">
        <v>88.533474421499989</v>
      </c>
      <c r="L644" s="168">
        <v>47.217853024799986</v>
      </c>
      <c r="M644" s="167">
        <v>52.188153343199986</v>
      </c>
      <c r="N644" s="169"/>
      <c r="O644" s="169"/>
      <c r="P644" s="124"/>
    </row>
    <row r="645" spans="2:16" x14ac:dyDescent="0.2">
      <c r="B645" s="123"/>
      <c r="C645" s="26"/>
      <c r="D645" s="26"/>
      <c r="E645" s="26"/>
      <c r="F645" s="26"/>
      <c r="G645" s="26"/>
      <c r="H645" s="26"/>
      <c r="I645" s="27"/>
      <c r="J645" s="27"/>
      <c r="K645" s="26"/>
      <c r="L645" s="26"/>
      <c r="M645" s="26"/>
      <c r="N645" s="26"/>
      <c r="O645" s="26"/>
      <c r="P645" s="124"/>
    </row>
    <row r="646" spans="2:16" x14ac:dyDescent="0.2">
      <c r="B646" s="123"/>
      <c r="C646" s="26" t="s">
        <v>302</v>
      </c>
      <c r="D646" s="26"/>
      <c r="E646" s="26"/>
      <c r="F646" s="26"/>
      <c r="G646" s="26" t="s">
        <v>303</v>
      </c>
      <c r="H646" s="26"/>
      <c r="I646" s="26" t="s">
        <v>304</v>
      </c>
      <c r="J646" s="27"/>
      <c r="K646" s="26"/>
      <c r="L646" s="26"/>
      <c r="M646" s="26"/>
      <c r="N646" s="26"/>
      <c r="O646" s="26"/>
      <c r="P646" s="124"/>
    </row>
    <row r="647" spans="2:16" ht="15.75" thickBot="1" x14ac:dyDescent="0.25">
      <c r="B647" s="123"/>
      <c r="C647" s="32" t="s">
        <v>305</v>
      </c>
      <c r="D647" s="37" t="s">
        <v>306</v>
      </c>
      <c r="E647" s="37" t="s">
        <v>307</v>
      </c>
      <c r="F647" s="26"/>
      <c r="G647" s="35" t="s">
        <v>308</v>
      </c>
      <c r="H647" s="26"/>
      <c r="I647" s="35" t="s">
        <v>309</v>
      </c>
      <c r="J647" s="27"/>
      <c r="K647" s="26"/>
      <c r="L647" s="26"/>
      <c r="M647" s="26"/>
      <c r="N647" s="26"/>
      <c r="O647" s="26"/>
      <c r="P647" s="124"/>
    </row>
    <row r="648" spans="2:16" ht="15" thickTop="1" x14ac:dyDescent="0.2">
      <c r="B648" s="123"/>
      <c r="C648" s="182" t="s">
        <v>231</v>
      </c>
      <c r="D648" s="187" t="s">
        <v>231</v>
      </c>
      <c r="E648" s="187" t="s">
        <v>254</v>
      </c>
      <c r="F648" s="26"/>
      <c r="G648" s="36" t="s">
        <v>237</v>
      </c>
      <c r="H648" s="26"/>
      <c r="I648" s="36" t="s">
        <v>117</v>
      </c>
      <c r="J648" s="27"/>
      <c r="K648" s="26"/>
      <c r="L648" s="26"/>
      <c r="M648" s="26"/>
      <c r="N648" s="26"/>
      <c r="O648" s="26"/>
      <c r="P648" s="124"/>
    </row>
    <row r="649" spans="2:16" x14ac:dyDescent="0.2">
      <c r="B649" s="123"/>
      <c r="C649" s="179" t="s">
        <v>107</v>
      </c>
      <c r="D649" s="183" t="s">
        <v>107</v>
      </c>
      <c r="E649" s="183" t="s">
        <v>255</v>
      </c>
      <c r="F649" s="26"/>
      <c r="G649" s="36" t="s">
        <v>238</v>
      </c>
      <c r="H649" s="26"/>
      <c r="I649" s="36" t="s">
        <v>237</v>
      </c>
      <c r="J649" s="27"/>
      <c r="K649" s="26"/>
      <c r="L649" s="26"/>
      <c r="M649" s="26"/>
      <c r="N649" s="26"/>
      <c r="O649" s="26"/>
      <c r="P649" s="124"/>
    </row>
    <row r="650" spans="2:16" x14ac:dyDescent="0.2">
      <c r="B650" s="123"/>
      <c r="C650" s="179" t="s">
        <v>250</v>
      </c>
      <c r="D650" s="183" t="s">
        <v>250</v>
      </c>
      <c r="E650" s="183" t="s">
        <v>257</v>
      </c>
      <c r="F650" s="26"/>
      <c r="G650" s="36" t="s">
        <v>239</v>
      </c>
      <c r="H650" s="26"/>
      <c r="I650" s="36" t="s">
        <v>238</v>
      </c>
      <c r="J650" s="27"/>
      <c r="K650" s="26"/>
      <c r="L650" s="26"/>
      <c r="M650" s="26"/>
      <c r="N650" s="26"/>
      <c r="O650" s="26"/>
      <c r="P650" s="124"/>
    </row>
    <row r="651" spans="2:16" x14ac:dyDescent="0.2">
      <c r="B651" s="123"/>
      <c r="C651" s="179" t="s">
        <v>245</v>
      </c>
      <c r="D651" s="29" t="s">
        <v>245</v>
      </c>
      <c r="E651" s="183" t="s">
        <v>257</v>
      </c>
      <c r="F651" s="26"/>
      <c r="G651" s="36" t="s">
        <v>240</v>
      </c>
      <c r="H651" s="26"/>
      <c r="I651" s="36" t="s">
        <v>239</v>
      </c>
      <c r="J651" s="27"/>
      <c r="K651" s="26"/>
      <c r="L651" s="26"/>
      <c r="M651" s="26"/>
      <c r="N651" s="26"/>
      <c r="O651" s="26"/>
      <c r="P651" s="124"/>
    </row>
    <row r="652" spans="2:16" x14ac:dyDescent="0.2">
      <c r="B652" s="123"/>
      <c r="C652" s="179" t="s">
        <v>246</v>
      </c>
      <c r="D652" s="212" t="s">
        <v>246</v>
      </c>
      <c r="E652" s="29" t="s">
        <v>256</v>
      </c>
      <c r="F652" s="26"/>
      <c r="G652" s="36" t="s">
        <v>241</v>
      </c>
      <c r="H652" s="26"/>
      <c r="I652" s="36" t="s">
        <v>240</v>
      </c>
      <c r="J652" s="27"/>
      <c r="K652" s="26"/>
      <c r="L652" s="26"/>
      <c r="M652" s="26"/>
      <c r="N652" s="26"/>
      <c r="O652" s="26"/>
      <c r="P652" s="124"/>
    </row>
    <row r="653" spans="2:16" x14ac:dyDescent="0.2">
      <c r="B653" s="123"/>
      <c r="C653" s="179" t="s">
        <v>247</v>
      </c>
      <c r="D653" s="212" t="s">
        <v>247</v>
      </c>
      <c r="E653" s="29" t="s">
        <v>256</v>
      </c>
      <c r="F653" s="26"/>
      <c r="G653" s="36" t="s">
        <v>310</v>
      </c>
      <c r="H653" s="26"/>
      <c r="I653" s="36" t="s">
        <v>241</v>
      </c>
      <c r="J653" s="27"/>
      <c r="K653" s="26"/>
      <c r="L653" s="26"/>
      <c r="M653" s="26"/>
      <c r="N653" s="26"/>
      <c r="O653" s="26"/>
      <c r="P653" s="124"/>
    </row>
    <row r="654" spans="2:16" x14ac:dyDescent="0.2">
      <c r="B654" s="123"/>
      <c r="C654" s="179" t="s">
        <v>248</v>
      </c>
      <c r="D654" s="212" t="s">
        <v>248</v>
      </c>
      <c r="E654" s="29" t="s">
        <v>256</v>
      </c>
      <c r="F654" s="26"/>
      <c r="G654" s="36" t="s">
        <v>242</v>
      </c>
      <c r="H654" s="26"/>
      <c r="I654" s="36" t="s">
        <v>242</v>
      </c>
      <c r="J654" s="27"/>
      <c r="K654" s="26"/>
      <c r="L654" s="26"/>
      <c r="M654" s="26"/>
      <c r="N654" s="26"/>
      <c r="O654" s="26"/>
      <c r="P654" s="124"/>
    </row>
    <row r="655" spans="2:16" x14ac:dyDescent="0.2">
      <c r="B655" s="123"/>
      <c r="C655" s="179" t="s">
        <v>249</v>
      </c>
      <c r="D655" s="212" t="s">
        <v>249</v>
      </c>
      <c r="E655" s="29" t="s">
        <v>257</v>
      </c>
      <c r="F655" s="26"/>
      <c r="G655" s="36" t="s">
        <v>243</v>
      </c>
      <c r="H655" s="26"/>
      <c r="I655" s="36" t="s">
        <v>243</v>
      </c>
      <c r="J655" s="27"/>
      <c r="K655" s="26"/>
      <c r="L655" s="26"/>
      <c r="M655" s="26"/>
      <c r="N655" s="26"/>
      <c r="O655" s="26"/>
      <c r="P655" s="124"/>
    </row>
    <row r="656" spans="2:16" x14ac:dyDescent="0.2">
      <c r="B656" s="123"/>
      <c r="C656" s="179" t="s">
        <v>251</v>
      </c>
      <c r="D656" s="212" t="s">
        <v>251</v>
      </c>
      <c r="E656" s="29" t="s">
        <v>253</v>
      </c>
      <c r="F656" s="26"/>
      <c r="G656" s="172" t="s">
        <v>259</v>
      </c>
      <c r="H656" s="26"/>
      <c r="I656" s="172" t="s">
        <v>259</v>
      </c>
      <c r="J656" s="27"/>
      <c r="K656" s="26"/>
      <c r="L656" s="26"/>
      <c r="M656" s="26"/>
      <c r="N656" s="26"/>
      <c r="O656" s="26"/>
      <c r="P656" s="124"/>
    </row>
    <row r="657" spans="2:16" x14ac:dyDescent="0.2">
      <c r="B657" s="123"/>
      <c r="C657" s="26"/>
      <c r="D657" s="26"/>
      <c r="E657" s="26"/>
      <c r="F657" s="26"/>
      <c r="G657" s="172" t="s">
        <v>122</v>
      </c>
      <c r="H657" s="26"/>
      <c r="I657" s="172" t="s">
        <v>122</v>
      </c>
      <c r="J657" s="27"/>
      <c r="K657" s="26"/>
      <c r="L657" s="26"/>
      <c r="M657" s="26"/>
      <c r="N657" s="26"/>
      <c r="O657" s="26"/>
      <c r="P657" s="124"/>
    </row>
    <row r="658" spans="2:16" x14ac:dyDescent="0.2">
      <c r="B658" s="123"/>
      <c r="C658" s="26"/>
      <c r="D658" s="26"/>
      <c r="E658" s="26"/>
      <c r="F658" s="26"/>
      <c r="G658" s="172" t="s">
        <v>261</v>
      </c>
      <c r="H658" s="26"/>
      <c r="I658" s="172" t="s">
        <v>261</v>
      </c>
      <c r="J658" s="26"/>
      <c r="K658" s="26"/>
      <c r="L658" s="26"/>
      <c r="M658" s="26"/>
      <c r="N658" s="26"/>
      <c r="O658" s="26"/>
      <c r="P658" s="124"/>
    </row>
    <row r="659" spans="2:16" x14ac:dyDescent="0.2">
      <c r="B659" s="123"/>
      <c r="C659" s="26" t="s">
        <v>311</v>
      </c>
      <c r="D659" s="26"/>
      <c r="E659" s="26"/>
      <c r="F659" s="26"/>
      <c r="G659" s="172" t="s">
        <v>262</v>
      </c>
      <c r="H659" s="28"/>
      <c r="I659" s="172" t="s">
        <v>262</v>
      </c>
      <c r="J659" s="26"/>
      <c r="K659" s="26"/>
      <c r="L659" s="26"/>
      <c r="M659" s="26"/>
      <c r="N659" s="26"/>
      <c r="O659" s="26"/>
      <c r="P659" s="124"/>
    </row>
    <row r="660" spans="2:16" ht="15.75" thickBot="1" x14ac:dyDescent="0.25">
      <c r="B660" s="123"/>
      <c r="C660" s="31" t="s">
        <v>312</v>
      </c>
      <c r="D660" s="30" t="s">
        <v>313</v>
      </c>
      <c r="E660" s="39" t="s">
        <v>314</v>
      </c>
      <c r="F660" s="26"/>
      <c r="G660" s="36" t="s">
        <v>263</v>
      </c>
      <c r="H660" s="26"/>
      <c r="I660" s="36" t="s">
        <v>263</v>
      </c>
      <c r="J660" s="26"/>
      <c r="K660" s="26"/>
      <c r="L660" s="26"/>
      <c r="M660" s="26"/>
      <c r="N660" s="26"/>
      <c r="O660" s="26"/>
      <c r="P660" s="124"/>
    </row>
    <row r="661" spans="2:16" ht="15" thickTop="1" x14ac:dyDescent="0.2">
      <c r="B661" s="123"/>
      <c r="C661" s="40" t="s">
        <v>109</v>
      </c>
      <c r="D661" s="41" t="s">
        <v>233</v>
      </c>
      <c r="E661" s="38" t="s">
        <v>315</v>
      </c>
      <c r="F661" s="26"/>
      <c r="G661" s="36" t="s">
        <v>316</v>
      </c>
      <c r="H661" s="26"/>
      <c r="I661" s="36" t="s">
        <v>316</v>
      </c>
      <c r="J661" s="26"/>
      <c r="K661" s="26"/>
      <c r="L661" s="26"/>
      <c r="M661" s="26"/>
      <c r="N661" s="26"/>
      <c r="O661" s="26"/>
      <c r="P661" s="124"/>
    </row>
    <row r="662" spans="2:16" x14ac:dyDescent="0.2">
      <c r="B662" s="123"/>
      <c r="C662" s="40" t="s">
        <v>317</v>
      </c>
      <c r="D662" s="41" t="s">
        <v>234</v>
      </c>
      <c r="E662" s="38" t="s">
        <v>318</v>
      </c>
      <c r="F662" s="26"/>
      <c r="G662" s="36" t="s">
        <v>265</v>
      </c>
      <c r="H662" s="26"/>
      <c r="I662" s="36" t="s">
        <v>265</v>
      </c>
      <c r="J662" s="26"/>
      <c r="K662" s="26"/>
      <c r="L662" s="26"/>
      <c r="M662" s="26"/>
      <c r="N662" s="26"/>
      <c r="O662" s="26"/>
      <c r="P662" s="124"/>
    </row>
    <row r="663" spans="2:16" x14ac:dyDescent="0.2">
      <c r="B663" s="123"/>
      <c r="C663" s="40" t="s">
        <v>319</v>
      </c>
      <c r="D663" s="41" t="s">
        <v>235</v>
      </c>
      <c r="E663" s="38" t="s">
        <v>320</v>
      </c>
      <c r="F663" s="26"/>
      <c r="G663" s="29" t="s">
        <v>260</v>
      </c>
      <c r="H663" s="26"/>
      <c r="I663" s="29" t="s">
        <v>260</v>
      </c>
      <c r="J663" s="26"/>
      <c r="K663" s="26"/>
      <c r="L663" s="26"/>
      <c r="M663" s="26"/>
      <c r="N663" s="26"/>
      <c r="O663" s="26"/>
      <c r="P663" s="124"/>
    </row>
    <row r="664" spans="2:16" x14ac:dyDescent="0.2">
      <c r="B664" s="123"/>
      <c r="C664" s="33" t="s">
        <v>321</v>
      </c>
      <c r="D664" s="41" t="s">
        <v>234</v>
      </c>
      <c r="E664" s="38" t="s">
        <v>318</v>
      </c>
      <c r="F664" s="26"/>
      <c r="G664" s="21"/>
      <c r="H664" s="26"/>
      <c r="I664" s="21"/>
      <c r="J664" s="26"/>
      <c r="K664" s="26"/>
      <c r="L664" s="26"/>
      <c r="M664" s="26"/>
      <c r="N664" s="26"/>
      <c r="O664" s="26"/>
      <c r="P664" s="124"/>
    </row>
    <row r="665" spans="2:16" x14ac:dyDescent="0.2">
      <c r="B665" s="123"/>
      <c r="C665" s="33" t="s">
        <v>322</v>
      </c>
      <c r="D665" s="41" t="s">
        <v>234</v>
      </c>
      <c r="E665" s="38" t="s">
        <v>318</v>
      </c>
      <c r="F665" s="26"/>
      <c r="G665" s="21"/>
      <c r="H665" s="26"/>
      <c r="I665" s="21"/>
      <c r="J665" s="26"/>
      <c r="K665" s="26"/>
      <c r="L665" s="26"/>
      <c r="M665" s="26"/>
      <c r="N665" s="26"/>
      <c r="O665" s="26"/>
      <c r="P665" s="124"/>
    </row>
    <row r="666" spans="2:16" x14ac:dyDescent="0.2">
      <c r="B666" s="123"/>
      <c r="C666" s="40" t="s">
        <v>323</v>
      </c>
      <c r="D666" s="41" t="s">
        <v>234</v>
      </c>
      <c r="E666" s="36" t="s">
        <v>318</v>
      </c>
      <c r="F666" s="26"/>
      <c r="G666" s="21"/>
      <c r="H666" s="26"/>
      <c r="I666" s="21"/>
      <c r="J666" s="26"/>
      <c r="K666" s="26"/>
      <c r="L666" s="26"/>
      <c r="M666" s="26"/>
      <c r="N666" s="26"/>
      <c r="O666" s="26"/>
      <c r="P666" s="124"/>
    </row>
    <row r="667" spans="2:16" x14ac:dyDescent="0.2">
      <c r="B667" s="123"/>
      <c r="C667" s="26"/>
      <c r="D667" s="27"/>
      <c r="E667" s="26"/>
      <c r="F667" s="26"/>
      <c r="G667" s="21"/>
      <c r="H667" s="26"/>
      <c r="I667" s="21"/>
      <c r="J667" s="26"/>
      <c r="K667" s="26"/>
      <c r="L667" s="26"/>
      <c r="M667" s="26"/>
      <c r="N667" s="26"/>
      <c r="O667" s="26"/>
      <c r="P667" s="124"/>
    </row>
    <row r="668" spans="2:16" x14ac:dyDescent="0.2">
      <c r="B668" s="123"/>
      <c r="C668" s="26" t="s">
        <v>324</v>
      </c>
      <c r="D668" s="27"/>
      <c r="E668" s="26"/>
      <c r="F668" s="26"/>
      <c r="G668" s="21"/>
      <c r="H668" s="26"/>
      <c r="I668" s="21"/>
      <c r="J668" s="26"/>
      <c r="K668" s="26"/>
      <c r="L668" s="26"/>
      <c r="M668" s="26"/>
      <c r="N668" s="26"/>
      <c r="O668" s="26"/>
      <c r="P668" s="124"/>
    </row>
    <row r="669" spans="2:16" ht="15.75" thickBot="1" x14ac:dyDescent="0.25">
      <c r="B669" s="123"/>
      <c r="C669" s="170" t="s">
        <v>220</v>
      </c>
      <c r="D669" s="35" t="s">
        <v>306</v>
      </c>
      <c r="E669" s="26"/>
      <c r="F669" s="26"/>
      <c r="G669" s="21"/>
      <c r="H669" s="26"/>
      <c r="I669" s="26"/>
      <c r="J669" s="26"/>
      <c r="K669" s="26"/>
      <c r="L669" s="26"/>
      <c r="M669" s="26"/>
      <c r="N669" s="26"/>
      <c r="O669" s="26"/>
      <c r="P669" s="124"/>
    </row>
    <row r="670" spans="2:16" ht="15" thickTop="1" x14ac:dyDescent="0.2">
      <c r="B670" s="123"/>
      <c r="C670" s="33" t="s">
        <v>325</v>
      </c>
      <c r="D670" s="34" t="b">
        <v>1</v>
      </c>
      <c r="E670" s="26"/>
      <c r="F670" s="26"/>
      <c r="G670" s="21"/>
      <c r="H670" s="26"/>
      <c r="I670" s="26"/>
      <c r="J670" s="26"/>
      <c r="K670" s="26"/>
      <c r="L670" s="26"/>
      <c r="M670" s="26"/>
      <c r="N670" s="26"/>
      <c r="O670" s="26"/>
      <c r="P670" s="124"/>
    </row>
    <row r="671" spans="2:16" x14ac:dyDescent="0.2">
      <c r="B671" s="123"/>
      <c r="C671" s="33" t="s">
        <v>113</v>
      </c>
      <c r="D671" s="34" t="b">
        <v>0</v>
      </c>
      <c r="E671" s="26"/>
      <c r="F671" s="26"/>
      <c r="G671" s="21"/>
      <c r="H671" s="26"/>
      <c r="I671" s="26"/>
      <c r="J671" s="26"/>
      <c r="K671" s="26"/>
      <c r="L671" s="26"/>
      <c r="M671" s="26"/>
      <c r="N671" s="26"/>
      <c r="O671" s="26"/>
      <c r="P671" s="124"/>
    </row>
    <row r="672" spans="2:16" x14ac:dyDescent="0.2">
      <c r="B672" s="123"/>
      <c r="C672" s="26"/>
      <c r="D672" s="27"/>
      <c r="E672" s="27"/>
      <c r="F672" s="26"/>
      <c r="G672" s="21"/>
      <c r="H672" s="26"/>
      <c r="I672" s="21"/>
      <c r="J672" s="21"/>
      <c r="K672" s="21"/>
      <c r="L672" s="21"/>
      <c r="M672" s="21"/>
      <c r="N672" s="21"/>
      <c r="O672" s="21"/>
      <c r="P672" s="124"/>
    </row>
    <row r="673" spans="2:16" ht="15" thickBot="1" x14ac:dyDescent="0.25">
      <c r="B673" s="184"/>
      <c r="C673" s="160"/>
      <c r="D673" s="161"/>
      <c r="E673" s="161"/>
      <c r="F673" s="160"/>
      <c r="G673" s="162"/>
      <c r="H673" s="162"/>
      <c r="I673" s="162"/>
      <c r="J673" s="162"/>
      <c r="K673" s="162"/>
      <c r="L673" s="162"/>
      <c r="M673" s="162"/>
      <c r="N673" s="162"/>
      <c r="O673" s="162"/>
      <c r="P673" s="185"/>
    </row>
    <row r="674" spans="2:16" ht="15" thickTop="1" x14ac:dyDescent="0.2">
      <c r="F674" s="36"/>
    </row>
    <row r="675" spans="2:16" x14ac:dyDescent="0.2">
      <c r="F675" s="36"/>
      <c r="G675" s="36"/>
      <c r="H675" s="36"/>
      <c r="I675" s="34"/>
      <c r="J675" s="34"/>
    </row>
    <row r="676" spans="2:16" x14ac:dyDescent="0.2">
      <c r="F676" s="36"/>
      <c r="G676" s="36"/>
      <c r="H676" s="36"/>
      <c r="I676" s="34"/>
      <c r="J676" s="34"/>
    </row>
    <row r="677" spans="2:16" x14ac:dyDescent="0.2">
      <c r="F677" s="36"/>
      <c r="G677" s="36"/>
      <c r="H677" s="36"/>
      <c r="I677" s="34"/>
      <c r="J677" s="34"/>
    </row>
    <row r="678" spans="2:16" x14ac:dyDescent="0.2">
      <c r="F678" s="36"/>
      <c r="G678" s="36"/>
      <c r="H678" s="36"/>
      <c r="I678" s="34"/>
      <c r="J678" s="34"/>
    </row>
    <row r="679" spans="2:16" x14ac:dyDescent="0.2">
      <c r="F679" s="36"/>
      <c r="G679" s="36"/>
      <c r="H679" s="36"/>
      <c r="I679" s="34"/>
      <c r="J679" s="34"/>
    </row>
    <row r="680" spans="2:16" x14ac:dyDescent="0.2">
      <c r="F680" s="36"/>
      <c r="G680" s="36"/>
      <c r="H680" s="36"/>
      <c r="I680" s="34"/>
      <c r="J680" s="34"/>
    </row>
    <row r="681" spans="2:16" x14ac:dyDescent="0.2">
      <c r="F681" s="36"/>
      <c r="G681" s="36"/>
      <c r="H681" s="36"/>
      <c r="I681" s="34"/>
      <c r="J681" s="34"/>
    </row>
    <row r="682" spans="2:16" x14ac:dyDescent="0.2">
      <c r="F682" s="36"/>
      <c r="G682" s="36"/>
      <c r="H682" s="36"/>
      <c r="I682" s="34"/>
      <c r="J682" s="34"/>
    </row>
    <row r="683" spans="2:16" x14ac:dyDescent="0.2">
      <c r="F683" s="36"/>
      <c r="G683" s="36"/>
      <c r="H683" s="36"/>
      <c r="I683" s="34"/>
      <c r="J683" s="34"/>
    </row>
    <row r="684" spans="2:16" x14ac:dyDescent="0.2">
      <c r="F684" s="36"/>
      <c r="G684" s="36"/>
      <c r="H684" s="36"/>
      <c r="I684" s="34"/>
      <c r="J684" s="34"/>
    </row>
    <row r="685" spans="2:16" x14ac:dyDescent="0.2">
      <c r="F685" s="36"/>
      <c r="G685" s="36"/>
      <c r="H685" s="36"/>
      <c r="I685" s="34"/>
      <c r="J685" s="34"/>
    </row>
    <row r="686" spans="2:16" x14ac:dyDescent="0.2">
      <c r="F686" s="36"/>
      <c r="G686" s="36"/>
      <c r="H686" s="36"/>
      <c r="I686" s="34"/>
      <c r="J686" s="34"/>
    </row>
    <row r="687" spans="2:16" x14ac:dyDescent="0.2">
      <c r="F687" s="36"/>
      <c r="G687" s="36"/>
      <c r="H687" s="36"/>
      <c r="I687" s="34"/>
      <c r="J687" s="34"/>
    </row>
    <row r="688" spans="2:16" x14ac:dyDescent="0.2">
      <c r="F688" s="36"/>
      <c r="G688" s="36"/>
      <c r="H688" s="36"/>
      <c r="I688" s="34"/>
      <c r="J688" s="34"/>
    </row>
    <row r="689" spans="6:10" x14ac:dyDescent="0.2">
      <c r="F689" s="36"/>
      <c r="G689" s="36"/>
      <c r="H689" s="36"/>
      <c r="I689" s="34"/>
      <c r="J689" s="34"/>
    </row>
    <row r="690" spans="6:10" x14ac:dyDescent="0.2">
      <c r="F690" s="36"/>
      <c r="G690" s="36"/>
      <c r="H690" s="36"/>
      <c r="I690" s="34"/>
      <c r="J690" s="34"/>
    </row>
    <row r="691" spans="6:10" x14ac:dyDescent="0.2">
      <c r="F691" s="36"/>
      <c r="G691" s="36"/>
      <c r="H691" s="36"/>
      <c r="I691" s="34"/>
      <c r="J691" s="34"/>
    </row>
  </sheetData>
  <sheetProtection algorithmName="SHA-512" hashValue="uuH0iNk/Q3GvGqXF7DpLzJPKPBqoH3N4XLAm2Y+7QORJ5Ow/M4JBL+RMOr3ZK3VZ/sK5x9jQ8o/sOz5YLMTSKg==" saltValue="/mldgiNs13YXtB5cPmmTXg==" spinCount="100000" sheet="1" objects="1" scenarios="1"/>
  <mergeCells count="1">
    <mergeCell ref="B2:P4"/>
  </mergeCells>
  <phoneticPr fontId="28" type="noConversion"/>
  <dataValidations disablePrompts="1" count="1">
    <dataValidation allowBlank="1" showInputMessage="1" showErrorMessage="1" prompt="This value is dependent on the rainfall volume." sqref="I616:J618 I612:J612" xr:uid="{5683ECF9-B236-43B7-B2FD-F42CED51FC31}"/>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98B73-B9BB-4A5C-A379-C001752C7774}">
  <dimension ref="B2:N121"/>
  <sheetViews>
    <sheetView showRowColHeaders="0" zoomScaleNormal="100" workbookViewId="0">
      <selection activeCell="Q25" sqref="Q25"/>
    </sheetView>
  </sheetViews>
  <sheetFormatPr defaultColWidth="9.140625" defaultRowHeight="15" x14ac:dyDescent="0.25"/>
  <cols>
    <col min="1" max="13" width="9.140625" style="127"/>
    <col min="14" max="14" width="1.7109375" style="127" customWidth="1"/>
    <col min="15" max="16384" width="9.140625" style="127"/>
  </cols>
  <sheetData>
    <row r="2" spans="2:14" ht="15.75" thickBot="1" x14ac:dyDescent="0.3"/>
    <row r="3" spans="2:14" ht="15.75" customHeight="1" thickTop="1" x14ac:dyDescent="0.25">
      <c r="B3" s="225" t="s">
        <v>1</v>
      </c>
      <c r="C3" s="226"/>
      <c r="D3" s="226"/>
      <c r="E3" s="226"/>
      <c r="F3" s="226"/>
      <c r="G3" s="226"/>
      <c r="H3" s="226"/>
      <c r="I3" s="226"/>
      <c r="J3" s="226"/>
      <c r="K3" s="226"/>
      <c r="L3" s="226"/>
      <c r="M3" s="226"/>
      <c r="N3" s="227"/>
    </row>
    <row r="4" spans="2:14" ht="15" customHeight="1" x14ac:dyDescent="0.25">
      <c r="B4" s="228"/>
      <c r="C4" s="229"/>
      <c r="D4" s="229"/>
      <c r="E4" s="229"/>
      <c r="F4" s="229"/>
      <c r="G4" s="229"/>
      <c r="H4" s="229"/>
      <c r="I4" s="229"/>
      <c r="J4" s="229"/>
      <c r="K4" s="229"/>
      <c r="L4" s="229"/>
      <c r="M4" s="229"/>
      <c r="N4" s="230"/>
    </row>
    <row r="5" spans="2:14" ht="15" customHeight="1" x14ac:dyDescent="0.25">
      <c r="B5" s="228"/>
      <c r="C5" s="229"/>
      <c r="D5" s="229"/>
      <c r="E5" s="229"/>
      <c r="F5" s="229"/>
      <c r="G5" s="229"/>
      <c r="H5" s="229"/>
      <c r="I5" s="229"/>
      <c r="J5" s="229"/>
      <c r="K5" s="229"/>
      <c r="L5" s="229"/>
      <c r="M5" s="229"/>
      <c r="N5" s="230"/>
    </row>
    <row r="6" spans="2:14" ht="8.25" customHeight="1" x14ac:dyDescent="0.25">
      <c r="B6" s="122"/>
      <c r="C6" s="1"/>
      <c r="D6" s="1"/>
      <c r="E6" s="1"/>
      <c r="F6" s="1"/>
      <c r="G6" s="1"/>
      <c r="H6" s="1"/>
      <c r="I6" s="1"/>
      <c r="J6" s="1"/>
      <c r="K6" s="1"/>
      <c r="L6" s="1"/>
      <c r="M6" s="1"/>
      <c r="N6" s="112"/>
    </row>
    <row r="7" spans="2:14" ht="56.25" customHeight="1" x14ac:dyDescent="0.25">
      <c r="B7" s="231" t="s">
        <v>2</v>
      </c>
      <c r="C7" s="232"/>
      <c r="D7" s="232"/>
      <c r="E7" s="232"/>
      <c r="F7" s="232"/>
      <c r="G7" s="232"/>
      <c r="H7" s="232"/>
      <c r="I7" s="232"/>
      <c r="J7" s="232"/>
      <c r="K7" s="232"/>
      <c r="L7" s="232"/>
      <c r="M7" s="232"/>
      <c r="N7" s="112"/>
    </row>
    <row r="8" spans="2:14" ht="59.25" customHeight="1" x14ac:dyDescent="0.25">
      <c r="B8" s="233" t="s">
        <v>3</v>
      </c>
      <c r="C8" s="234"/>
      <c r="D8" s="234"/>
      <c r="E8" s="234"/>
      <c r="F8" s="234"/>
      <c r="G8" s="234"/>
      <c r="H8" s="234"/>
      <c r="I8" s="234"/>
      <c r="J8" s="234"/>
      <c r="K8" s="234"/>
      <c r="L8" s="234"/>
      <c r="M8" s="234"/>
      <c r="N8" s="112"/>
    </row>
    <row r="9" spans="2:14" x14ac:dyDescent="0.25">
      <c r="B9" s="123"/>
      <c r="C9" s="21"/>
      <c r="D9" s="21"/>
      <c r="E9" s="21"/>
      <c r="F9" s="21"/>
      <c r="G9" s="21"/>
      <c r="H9" s="21"/>
      <c r="I9" s="21"/>
      <c r="J9" s="21"/>
      <c r="K9" s="21"/>
      <c r="L9" s="21"/>
      <c r="M9" s="21"/>
      <c r="N9" s="112"/>
    </row>
    <row r="10" spans="2:14" x14ac:dyDescent="0.25">
      <c r="B10" s="123"/>
      <c r="C10" s="21"/>
      <c r="D10" s="21"/>
      <c r="E10" s="21"/>
      <c r="F10" s="21"/>
      <c r="G10" s="21"/>
      <c r="H10" s="21"/>
      <c r="I10" s="21"/>
      <c r="J10" s="21"/>
      <c r="K10" s="21"/>
      <c r="L10" s="21"/>
      <c r="M10" s="21"/>
      <c r="N10" s="112"/>
    </row>
    <row r="11" spans="2:14" x14ac:dyDescent="0.25">
      <c r="B11" s="123"/>
      <c r="C11" s="21"/>
      <c r="D11" s="21"/>
      <c r="E11" s="21"/>
      <c r="F11" s="21"/>
      <c r="G11" s="21"/>
      <c r="H11" s="21"/>
      <c r="I11" s="21"/>
      <c r="J11" s="21"/>
      <c r="K11" s="21"/>
      <c r="L11" s="21"/>
      <c r="M11" s="21"/>
      <c r="N11" s="112"/>
    </row>
    <row r="12" spans="2:14" x14ac:dyDescent="0.25">
      <c r="B12" s="123"/>
      <c r="C12" s="21"/>
      <c r="D12" s="21"/>
      <c r="E12" s="21"/>
      <c r="F12" s="21"/>
      <c r="G12" s="21"/>
      <c r="H12" s="21"/>
      <c r="I12" s="21"/>
      <c r="J12" s="21"/>
      <c r="K12" s="21"/>
      <c r="L12" s="21"/>
      <c r="M12" s="21"/>
      <c r="N12" s="112"/>
    </row>
    <row r="13" spans="2:14" x14ac:dyDescent="0.25">
      <c r="B13" s="123"/>
      <c r="C13" s="21"/>
      <c r="D13" s="21"/>
      <c r="E13" s="21"/>
      <c r="F13" s="21"/>
      <c r="G13" s="21"/>
      <c r="H13" s="21"/>
      <c r="I13" s="21"/>
      <c r="J13" s="21"/>
      <c r="K13" s="21"/>
      <c r="L13" s="21"/>
      <c r="M13" s="21"/>
      <c r="N13" s="112"/>
    </row>
    <row r="14" spans="2:14" x14ac:dyDescent="0.25">
      <c r="B14" s="123"/>
      <c r="C14" s="21"/>
      <c r="D14" s="21"/>
      <c r="E14" s="21"/>
      <c r="F14" s="21"/>
      <c r="G14" s="21"/>
      <c r="H14" s="21"/>
      <c r="I14" s="21"/>
      <c r="J14" s="21"/>
      <c r="K14" s="21"/>
      <c r="L14" s="21"/>
      <c r="M14" s="21"/>
      <c r="N14" s="112"/>
    </row>
    <row r="15" spans="2:14" x14ac:dyDescent="0.25">
      <c r="B15" s="123"/>
      <c r="C15" s="21"/>
      <c r="D15" s="21"/>
      <c r="E15" s="21"/>
      <c r="F15" s="21"/>
      <c r="G15" s="21"/>
      <c r="H15" s="21"/>
      <c r="I15" s="21"/>
      <c r="J15" s="21"/>
      <c r="K15" s="21"/>
      <c r="L15" s="21"/>
      <c r="M15" s="21"/>
      <c r="N15" s="112"/>
    </row>
    <row r="16" spans="2:14" x14ac:dyDescent="0.25">
      <c r="B16" s="123"/>
      <c r="C16" s="21"/>
      <c r="D16" s="21"/>
      <c r="E16" s="21"/>
      <c r="F16" s="21"/>
      <c r="G16" s="21"/>
      <c r="H16" s="21"/>
      <c r="I16" s="21"/>
      <c r="J16" s="21"/>
      <c r="K16" s="21"/>
      <c r="L16" s="21"/>
      <c r="M16" s="21"/>
      <c r="N16" s="112"/>
    </row>
    <row r="17" spans="2:14" x14ac:dyDescent="0.25">
      <c r="B17" s="123"/>
      <c r="C17" s="21"/>
      <c r="D17" s="21"/>
      <c r="E17" s="21"/>
      <c r="F17" s="21"/>
      <c r="G17" s="21"/>
      <c r="H17" s="21"/>
      <c r="I17" s="21"/>
      <c r="J17" s="21"/>
      <c r="K17" s="21"/>
      <c r="L17" s="21"/>
      <c r="M17" s="21"/>
      <c r="N17" s="112"/>
    </row>
    <row r="18" spans="2:14" x14ac:dyDescent="0.25">
      <c r="B18" s="123"/>
      <c r="C18" s="21"/>
      <c r="D18" s="21"/>
      <c r="E18" s="21"/>
      <c r="F18" s="21"/>
      <c r="G18" s="21"/>
      <c r="H18" s="21"/>
      <c r="I18" s="21"/>
      <c r="J18" s="21"/>
      <c r="K18" s="21"/>
      <c r="L18" s="21"/>
      <c r="M18" s="21"/>
      <c r="N18" s="112"/>
    </row>
    <row r="19" spans="2:14" x14ac:dyDescent="0.25">
      <c r="B19" s="123"/>
      <c r="C19" s="21"/>
      <c r="D19" s="21"/>
      <c r="E19" s="21"/>
      <c r="F19" s="21"/>
      <c r="G19" s="21"/>
      <c r="H19" s="21"/>
      <c r="I19" s="21"/>
      <c r="J19" s="21"/>
      <c r="K19" s="21"/>
      <c r="L19" s="21"/>
      <c r="M19" s="21"/>
      <c r="N19" s="112"/>
    </row>
    <row r="20" spans="2:14" x14ac:dyDescent="0.25">
      <c r="B20" s="123"/>
      <c r="C20" s="21"/>
      <c r="D20" s="21"/>
      <c r="E20" s="21"/>
      <c r="F20" s="21"/>
      <c r="G20" s="21"/>
      <c r="H20" s="21"/>
      <c r="I20" s="21"/>
      <c r="J20" s="21"/>
      <c r="K20" s="21"/>
      <c r="L20" s="21"/>
      <c r="M20" s="21"/>
      <c r="N20" s="112"/>
    </row>
    <row r="21" spans="2:14" x14ac:dyDescent="0.25">
      <c r="B21" s="123"/>
      <c r="C21" s="21"/>
      <c r="D21" s="21"/>
      <c r="E21" s="21"/>
      <c r="F21" s="21"/>
      <c r="G21" s="21"/>
      <c r="H21" s="21"/>
      <c r="I21" s="21"/>
      <c r="J21" s="21"/>
      <c r="K21" s="21"/>
      <c r="L21" s="21"/>
      <c r="M21" s="21"/>
      <c r="N21" s="112"/>
    </row>
    <row r="22" spans="2:14" x14ac:dyDescent="0.25">
      <c r="B22" s="123"/>
      <c r="C22" s="21"/>
      <c r="D22" s="21"/>
      <c r="E22" s="21"/>
      <c r="F22" s="21"/>
      <c r="G22" s="21"/>
      <c r="H22" s="21"/>
      <c r="I22" s="21"/>
      <c r="J22" s="21"/>
      <c r="K22" s="21"/>
      <c r="L22" s="21"/>
      <c r="M22" s="21"/>
      <c r="N22" s="112"/>
    </row>
    <row r="23" spans="2:14" x14ac:dyDescent="0.25">
      <c r="B23" s="123"/>
      <c r="C23" s="21"/>
      <c r="D23" s="21"/>
      <c r="E23" s="21"/>
      <c r="F23" s="21"/>
      <c r="G23" s="21"/>
      <c r="H23" s="21"/>
      <c r="I23" s="21"/>
      <c r="J23" s="21"/>
      <c r="K23" s="21"/>
      <c r="L23" s="21"/>
      <c r="M23" s="21"/>
      <c r="N23" s="112"/>
    </row>
    <row r="24" spans="2:14" x14ac:dyDescent="0.25">
      <c r="B24" s="123"/>
      <c r="C24" s="21"/>
      <c r="D24" s="21"/>
      <c r="E24" s="21"/>
      <c r="F24" s="21"/>
      <c r="G24" s="21"/>
      <c r="H24" s="21"/>
      <c r="I24" s="21"/>
      <c r="J24" s="21"/>
      <c r="K24" s="21"/>
      <c r="L24" s="21"/>
      <c r="M24" s="21"/>
      <c r="N24" s="112"/>
    </row>
    <row r="25" spans="2:14" x14ac:dyDescent="0.25">
      <c r="B25" s="123"/>
      <c r="C25" s="21"/>
      <c r="D25" s="21"/>
      <c r="E25" s="21"/>
      <c r="F25" s="21"/>
      <c r="G25" s="21"/>
      <c r="H25" s="21"/>
      <c r="I25" s="21"/>
      <c r="J25" s="21"/>
      <c r="K25" s="21"/>
      <c r="L25" s="21"/>
      <c r="M25" s="21"/>
      <c r="N25" s="112"/>
    </row>
    <row r="26" spans="2:14" x14ac:dyDescent="0.25">
      <c r="B26" s="123"/>
      <c r="C26" s="21"/>
      <c r="D26" s="21"/>
      <c r="E26" s="21"/>
      <c r="F26" s="21"/>
      <c r="G26" s="21"/>
      <c r="H26" s="21"/>
      <c r="I26" s="21"/>
      <c r="J26" s="21"/>
      <c r="K26" s="21"/>
      <c r="L26" s="21"/>
      <c r="M26" s="21"/>
      <c r="N26" s="112"/>
    </row>
    <row r="27" spans="2:14" x14ac:dyDescent="0.25">
      <c r="B27" s="123"/>
      <c r="C27" s="21"/>
      <c r="D27" s="21"/>
      <c r="E27" s="21"/>
      <c r="F27" s="21"/>
      <c r="G27" s="21"/>
      <c r="H27" s="21"/>
      <c r="I27" s="21"/>
      <c r="J27" s="21"/>
      <c r="K27" s="21"/>
      <c r="L27" s="21"/>
      <c r="M27" s="21"/>
      <c r="N27" s="112"/>
    </row>
    <row r="28" spans="2:14" x14ac:dyDescent="0.25">
      <c r="B28" s="123"/>
      <c r="C28" s="21"/>
      <c r="D28" s="21"/>
      <c r="E28" s="21"/>
      <c r="F28" s="21"/>
      <c r="G28" s="21"/>
      <c r="H28" s="21"/>
      <c r="I28" s="21"/>
      <c r="J28" s="21"/>
      <c r="K28" s="21"/>
      <c r="L28" s="21"/>
      <c r="M28" s="21"/>
      <c r="N28" s="112"/>
    </row>
    <row r="29" spans="2:14" x14ac:dyDescent="0.25">
      <c r="B29" s="123"/>
      <c r="C29" s="21"/>
      <c r="D29" s="21"/>
      <c r="E29" s="21"/>
      <c r="F29" s="21"/>
      <c r="G29" s="21"/>
      <c r="H29" s="21"/>
      <c r="I29" s="21"/>
      <c r="J29" s="21"/>
      <c r="K29" s="21"/>
      <c r="L29" s="21"/>
      <c r="M29" s="21"/>
      <c r="N29" s="112"/>
    </row>
    <row r="30" spans="2:14" x14ac:dyDescent="0.25">
      <c r="B30" s="123"/>
      <c r="C30" s="21"/>
      <c r="D30" s="21"/>
      <c r="E30" s="21"/>
      <c r="F30" s="21"/>
      <c r="G30" s="21"/>
      <c r="H30" s="21"/>
      <c r="I30" s="21"/>
      <c r="J30" s="21"/>
      <c r="K30" s="21"/>
      <c r="L30" s="21"/>
      <c r="M30" s="21"/>
      <c r="N30" s="112"/>
    </row>
    <row r="31" spans="2:14" x14ac:dyDescent="0.25">
      <c r="B31" s="123"/>
      <c r="C31" s="21"/>
      <c r="D31" s="21"/>
      <c r="E31" s="21"/>
      <c r="F31" s="21"/>
      <c r="G31" s="21"/>
      <c r="H31" s="21"/>
      <c r="I31" s="21"/>
      <c r="J31" s="21"/>
      <c r="K31" s="21"/>
      <c r="L31" s="21"/>
      <c r="M31" s="21"/>
      <c r="N31" s="112"/>
    </row>
    <row r="32" spans="2:14" x14ac:dyDescent="0.25">
      <c r="B32" s="123"/>
      <c r="C32" s="21"/>
      <c r="D32" s="21"/>
      <c r="E32" s="21"/>
      <c r="F32" s="21"/>
      <c r="G32" s="21"/>
      <c r="H32" s="21"/>
      <c r="I32" s="21"/>
      <c r="J32" s="21"/>
      <c r="K32" s="21"/>
      <c r="L32" s="21"/>
      <c r="M32" s="21"/>
      <c r="N32" s="112"/>
    </row>
    <row r="33" spans="2:14" x14ac:dyDescent="0.25">
      <c r="B33" s="123"/>
      <c r="C33" s="21"/>
      <c r="D33" s="21"/>
      <c r="E33" s="21"/>
      <c r="F33" s="21"/>
      <c r="G33" s="21"/>
      <c r="H33" s="21"/>
      <c r="I33" s="21"/>
      <c r="J33" s="21"/>
      <c r="K33" s="21"/>
      <c r="L33" s="21"/>
      <c r="M33" s="21"/>
      <c r="N33" s="112"/>
    </row>
    <row r="34" spans="2:14" ht="57.75" customHeight="1" x14ac:dyDescent="0.25">
      <c r="B34" s="233" t="s">
        <v>4</v>
      </c>
      <c r="C34" s="234"/>
      <c r="D34" s="234"/>
      <c r="E34" s="234"/>
      <c r="F34" s="234"/>
      <c r="G34" s="234"/>
      <c r="H34" s="234"/>
      <c r="I34" s="234"/>
      <c r="J34" s="234"/>
      <c r="K34" s="234"/>
      <c r="L34" s="234"/>
      <c r="M34" s="234"/>
      <c r="N34" s="112"/>
    </row>
    <row r="35" spans="2:14" ht="60" customHeight="1" x14ac:dyDescent="0.25">
      <c r="B35" s="231" t="s">
        <v>5</v>
      </c>
      <c r="C35" s="232"/>
      <c r="D35" s="232"/>
      <c r="E35" s="232"/>
      <c r="F35" s="232"/>
      <c r="G35" s="232"/>
      <c r="H35" s="232"/>
      <c r="I35" s="232"/>
      <c r="J35" s="232"/>
      <c r="K35" s="232"/>
      <c r="L35" s="232"/>
      <c r="M35" s="232"/>
      <c r="N35" s="112"/>
    </row>
    <row r="36" spans="2:14" ht="81.75" customHeight="1" thickBot="1" x14ac:dyDescent="0.3">
      <c r="B36" s="223" t="s">
        <v>6</v>
      </c>
      <c r="C36" s="224"/>
      <c r="D36" s="224"/>
      <c r="E36" s="224"/>
      <c r="F36" s="224"/>
      <c r="G36" s="224"/>
      <c r="H36" s="224"/>
      <c r="I36" s="224"/>
      <c r="J36" s="224"/>
      <c r="K36" s="224"/>
      <c r="L36" s="224"/>
      <c r="M36" s="224"/>
      <c r="N36" s="126"/>
    </row>
    <row r="37" spans="2:14" ht="15.75" thickTop="1" x14ac:dyDescent="0.25">
      <c r="B37" s="29"/>
      <c r="C37" s="29"/>
      <c r="D37" s="29"/>
      <c r="E37" s="29"/>
      <c r="F37" s="29"/>
      <c r="G37" s="29"/>
      <c r="H37" s="29"/>
      <c r="I37" s="29"/>
      <c r="J37" s="29"/>
      <c r="K37" s="29"/>
      <c r="L37" s="29"/>
      <c r="M37" s="29"/>
    </row>
    <row r="38" spans="2:14" x14ac:dyDescent="0.25">
      <c r="B38" s="29"/>
      <c r="C38" s="29"/>
      <c r="D38" s="29"/>
      <c r="E38" s="29"/>
      <c r="F38" s="29"/>
      <c r="G38" s="29"/>
      <c r="H38" s="29"/>
      <c r="I38" s="29"/>
      <c r="J38" s="29"/>
      <c r="K38" s="29"/>
      <c r="L38" s="29"/>
      <c r="M38" s="29"/>
    </row>
    <row r="39" spans="2:14" x14ac:dyDescent="0.25">
      <c r="B39" s="29"/>
      <c r="C39" s="29"/>
      <c r="D39" s="29"/>
      <c r="E39" s="29"/>
      <c r="F39" s="29"/>
      <c r="G39" s="29"/>
      <c r="H39" s="29"/>
      <c r="I39" s="29"/>
      <c r="J39" s="29"/>
      <c r="K39" s="29"/>
      <c r="L39" s="29"/>
      <c r="M39" s="29"/>
    </row>
    <row r="40" spans="2:14" x14ac:dyDescent="0.25">
      <c r="B40" s="29"/>
      <c r="C40" s="29"/>
      <c r="D40" s="29"/>
      <c r="E40" s="29"/>
      <c r="F40" s="29"/>
      <c r="G40" s="29"/>
      <c r="H40" s="29"/>
      <c r="I40" s="29"/>
      <c r="J40" s="29"/>
      <c r="K40" s="29"/>
      <c r="L40" s="29"/>
      <c r="M40" s="29"/>
    </row>
    <row r="41" spans="2:14" x14ac:dyDescent="0.25">
      <c r="B41" s="29"/>
      <c r="C41" s="29"/>
      <c r="D41" s="29"/>
      <c r="E41" s="29"/>
      <c r="F41" s="29"/>
      <c r="G41" s="29"/>
      <c r="H41" s="29"/>
      <c r="I41" s="29"/>
      <c r="J41" s="29"/>
      <c r="K41" s="29"/>
      <c r="L41" s="29"/>
      <c r="M41" s="29"/>
    </row>
    <row r="42" spans="2:14" x14ac:dyDescent="0.25">
      <c r="B42" s="29"/>
      <c r="C42" s="29"/>
      <c r="D42" s="29"/>
      <c r="E42" s="29"/>
      <c r="F42" s="29"/>
      <c r="G42" s="29"/>
      <c r="H42" s="29"/>
      <c r="I42" s="29"/>
      <c r="J42" s="29"/>
      <c r="K42" s="29"/>
      <c r="L42" s="29"/>
      <c r="M42" s="29"/>
    </row>
    <row r="43" spans="2:14" x14ac:dyDescent="0.25">
      <c r="B43" s="29"/>
      <c r="C43" s="29"/>
      <c r="D43" s="29"/>
      <c r="E43" s="29"/>
      <c r="F43" s="29"/>
      <c r="G43" s="29"/>
      <c r="H43" s="29"/>
      <c r="I43" s="29"/>
      <c r="J43" s="29"/>
      <c r="K43" s="29"/>
      <c r="L43" s="29"/>
      <c r="M43" s="29"/>
    </row>
    <row r="44" spans="2:14" x14ac:dyDescent="0.25">
      <c r="B44" s="29"/>
      <c r="C44" s="29"/>
      <c r="D44" s="29"/>
      <c r="E44" s="29"/>
      <c r="F44" s="29"/>
      <c r="G44" s="29"/>
      <c r="H44" s="29"/>
      <c r="I44" s="29"/>
      <c r="J44" s="29"/>
      <c r="K44" s="29"/>
      <c r="L44" s="29"/>
      <c r="M44" s="29"/>
    </row>
    <row r="45" spans="2:14" x14ac:dyDescent="0.25">
      <c r="B45" s="29"/>
      <c r="C45" s="29"/>
      <c r="D45" s="29"/>
      <c r="E45" s="29"/>
      <c r="F45" s="29"/>
      <c r="G45" s="29"/>
      <c r="H45" s="29"/>
      <c r="I45" s="29"/>
      <c r="J45" s="29"/>
      <c r="K45" s="29"/>
      <c r="L45" s="29"/>
      <c r="M45" s="29"/>
    </row>
    <row r="46" spans="2:14" x14ac:dyDescent="0.25">
      <c r="B46" s="29"/>
      <c r="C46" s="29"/>
      <c r="D46" s="29"/>
      <c r="E46" s="29"/>
      <c r="F46" s="29"/>
      <c r="G46" s="29"/>
      <c r="H46" s="29"/>
      <c r="I46" s="29"/>
      <c r="J46" s="29"/>
      <c r="K46" s="29"/>
      <c r="L46" s="29"/>
      <c r="M46" s="29"/>
    </row>
    <row r="47" spans="2:14" x14ac:dyDescent="0.25">
      <c r="B47" s="29"/>
      <c r="C47" s="29"/>
      <c r="D47" s="29"/>
      <c r="E47" s="29"/>
      <c r="F47" s="29"/>
      <c r="G47" s="29"/>
      <c r="H47" s="29"/>
      <c r="I47" s="29"/>
      <c r="J47" s="29"/>
      <c r="K47" s="29"/>
      <c r="L47" s="29"/>
      <c r="M47" s="29"/>
    </row>
    <row r="48" spans="2:14" x14ac:dyDescent="0.25">
      <c r="B48" s="29"/>
      <c r="C48" s="29"/>
      <c r="D48" s="29"/>
      <c r="E48" s="29"/>
      <c r="F48" s="29"/>
      <c r="G48" s="29"/>
      <c r="H48" s="29"/>
      <c r="I48" s="29"/>
      <c r="J48" s="29"/>
      <c r="K48" s="29"/>
      <c r="L48" s="29"/>
      <c r="M48" s="29"/>
    </row>
    <row r="49" spans="2:13" x14ac:dyDescent="0.25">
      <c r="B49" s="29"/>
      <c r="C49" s="29"/>
      <c r="D49" s="29"/>
      <c r="E49" s="29"/>
      <c r="F49" s="29"/>
      <c r="G49" s="29"/>
      <c r="H49" s="29"/>
      <c r="I49" s="29"/>
      <c r="J49" s="29"/>
      <c r="K49" s="29"/>
      <c r="L49" s="29"/>
      <c r="M49" s="29"/>
    </row>
    <row r="50" spans="2:13" x14ac:dyDescent="0.25">
      <c r="B50" s="29"/>
      <c r="C50" s="29"/>
      <c r="D50" s="29"/>
      <c r="E50" s="29"/>
      <c r="F50" s="29"/>
      <c r="G50" s="29"/>
      <c r="H50" s="29"/>
      <c r="I50" s="29"/>
      <c r="J50" s="29"/>
      <c r="K50" s="29"/>
      <c r="L50" s="29"/>
      <c r="M50" s="29"/>
    </row>
    <row r="51" spans="2:13" x14ac:dyDescent="0.25">
      <c r="B51" s="29"/>
      <c r="C51" s="29"/>
      <c r="D51" s="29"/>
      <c r="E51" s="29"/>
      <c r="F51" s="29"/>
      <c r="G51" s="29"/>
      <c r="H51" s="29"/>
      <c r="I51" s="29"/>
      <c r="J51" s="29"/>
      <c r="K51" s="29"/>
      <c r="L51" s="29"/>
      <c r="M51" s="29"/>
    </row>
    <row r="52" spans="2:13" x14ac:dyDescent="0.25">
      <c r="B52" s="29"/>
      <c r="C52" s="29"/>
      <c r="D52" s="29"/>
      <c r="E52" s="29"/>
      <c r="F52" s="29"/>
      <c r="G52" s="29"/>
      <c r="H52" s="29"/>
      <c r="I52" s="29"/>
      <c r="J52" s="29"/>
      <c r="K52" s="29"/>
      <c r="L52" s="29"/>
      <c r="M52" s="29"/>
    </row>
    <row r="53" spans="2:13" x14ac:dyDescent="0.25">
      <c r="B53" s="29"/>
      <c r="C53" s="29"/>
      <c r="D53" s="29"/>
      <c r="E53" s="29"/>
      <c r="F53" s="29"/>
      <c r="G53" s="29"/>
      <c r="H53" s="29"/>
      <c r="I53" s="29"/>
      <c r="J53" s="29"/>
      <c r="K53" s="29"/>
      <c r="L53" s="29"/>
      <c r="M53" s="29"/>
    </row>
    <row r="54" spans="2:13" x14ac:dyDescent="0.25">
      <c r="B54" s="29"/>
      <c r="C54" s="29"/>
      <c r="D54" s="29"/>
      <c r="E54" s="29"/>
      <c r="F54" s="29"/>
      <c r="G54" s="29"/>
      <c r="H54" s="29"/>
      <c r="I54" s="29"/>
      <c r="J54" s="29"/>
      <c r="K54" s="29"/>
      <c r="L54" s="29"/>
      <c r="M54" s="29"/>
    </row>
    <row r="55" spans="2:13" x14ac:dyDescent="0.25">
      <c r="B55" s="29"/>
      <c r="C55" s="29"/>
      <c r="D55" s="29"/>
      <c r="E55" s="29"/>
      <c r="F55" s="29"/>
      <c r="G55" s="29"/>
      <c r="H55" s="29"/>
      <c r="I55" s="29"/>
      <c r="J55" s="29"/>
      <c r="K55" s="29"/>
      <c r="L55" s="29"/>
      <c r="M55" s="29"/>
    </row>
    <row r="56" spans="2:13" x14ac:dyDescent="0.25">
      <c r="B56" s="29"/>
      <c r="C56" s="29"/>
      <c r="D56" s="29"/>
      <c r="E56" s="29"/>
      <c r="F56" s="29"/>
      <c r="G56" s="29"/>
      <c r="H56" s="29"/>
      <c r="I56" s="29"/>
      <c r="J56" s="29"/>
      <c r="K56" s="29"/>
      <c r="L56" s="29"/>
      <c r="M56" s="29"/>
    </row>
    <row r="57" spans="2:13" x14ac:dyDescent="0.25">
      <c r="B57" s="29"/>
      <c r="C57" s="29"/>
      <c r="D57" s="29"/>
      <c r="E57" s="29"/>
      <c r="F57" s="29"/>
      <c r="G57" s="29"/>
      <c r="H57" s="29"/>
      <c r="I57" s="29"/>
      <c r="J57" s="29"/>
      <c r="K57" s="29"/>
      <c r="L57" s="29"/>
      <c r="M57" s="29"/>
    </row>
    <row r="58" spans="2:13" x14ac:dyDescent="0.25">
      <c r="B58" s="29"/>
      <c r="C58" s="29"/>
      <c r="D58" s="29"/>
      <c r="E58" s="29"/>
      <c r="F58" s="29"/>
      <c r="G58" s="29"/>
      <c r="H58" s="29"/>
      <c r="I58" s="29"/>
      <c r="J58" s="29"/>
      <c r="K58" s="29"/>
      <c r="L58" s="29"/>
      <c r="M58" s="29"/>
    </row>
    <row r="59" spans="2:13" x14ac:dyDescent="0.25">
      <c r="B59" s="29"/>
      <c r="C59" s="29"/>
      <c r="D59" s="29"/>
      <c r="E59" s="29"/>
      <c r="F59" s="29"/>
      <c r="G59" s="29"/>
      <c r="H59" s="29"/>
      <c r="I59" s="29"/>
      <c r="J59" s="29"/>
      <c r="K59" s="29"/>
      <c r="L59" s="29"/>
      <c r="M59" s="29"/>
    </row>
    <row r="60" spans="2:13" x14ac:dyDescent="0.25">
      <c r="B60" s="29"/>
      <c r="C60" s="29"/>
      <c r="D60" s="29"/>
      <c r="E60" s="29"/>
      <c r="F60" s="29"/>
      <c r="G60" s="29"/>
      <c r="H60" s="29"/>
      <c r="I60" s="29"/>
      <c r="J60" s="29"/>
      <c r="K60" s="29"/>
      <c r="L60" s="29"/>
      <c r="M60" s="29"/>
    </row>
    <row r="61" spans="2:13" x14ac:dyDescent="0.25">
      <c r="B61" s="29"/>
      <c r="C61" s="29"/>
      <c r="D61" s="29"/>
      <c r="E61" s="29"/>
      <c r="F61" s="29"/>
      <c r="G61" s="29"/>
      <c r="H61" s="29"/>
      <c r="I61" s="29"/>
      <c r="J61" s="29"/>
      <c r="K61" s="29"/>
      <c r="L61" s="29"/>
      <c r="M61" s="29"/>
    </row>
    <row r="62" spans="2:13" x14ac:dyDescent="0.25">
      <c r="B62" s="29"/>
      <c r="C62" s="29"/>
      <c r="D62" s="29"/>
      <c r="E62" s="29"/>
      <c r="F62" s="29"/>
      <c r="G62" s="29"/>
      <c r="H62" s="29"/>
      <c r="I62" s="29"/>
      <c r="J62" s="29"/>
      <c r="K62" s="29"/>
      <c r="L62" s="29"/>
      <c r="M62" s="29"/>
    </row>
    <row r="63" spans="2:13" x14ac:dyDescent="0.25">
      <c r="B63" s="29"/>
      <c r="C63" s="29"/>
      <c r="D63" s="29"/>
      <c r="E63" s="29"/>
      <c r="F63" s="29"/>
      <c r="G63" s="29"/>
      <c r="H63" s="29"/>
      <c r="I63" s="29"/>
      <c r="J63" s="29"/>
      <c r="K63" s="29"/>
      <c r="L63" s="29"/>
      <c r="M63" s="29"/>
    </row>
    <row r="64" spans="2:13" x14ac:dyDescent="0.25">
      <c r="B64" s="29"/>
      <c r="C64" s="29"/>
      <c r="D64" s="29"/>
      <c r="E64" s="29"/>
      <c r="F64" s="29"/>
      <c r="G64" s="29"/>
      <c r="H64" s="29"/>
      <c r="I64" s="29"/>
      <c r="J64" s="29"/>
      <c r="K64" s="29"/>
      <c r="L64" s="29"/>
      <c r="M64" s="29"/>
    </row>
    <row r="65" spans="2:13" x14ac:dyDescent="0.25">
      <c r="B65" s="29"/>
      <c r="C65" s="29"/>
      <c r="D65" s="29"/>
      <c r="E65" s="29"/>
      <c r="F65" s="29"/>
      <c r="G65" s="29"/>
      <c r="H65" s="29"/>
      <c r="I65" s="29"/>
      <c r="J65" s="29"/>
      <c r="K65" s="29"/>
      <c r="L65" s="29"/>
      <c r="M65" s="29"/>
    </row>
    <row r="66" spans="2:13" x14ac:dyDescent="0.25">
      <c r="B66" s="29"/>
      <c r="C66" s="29"/>
      <c r="D66" s="29"/>
      <c r="E66" s="29"/>
      <c r="F66" s="29"/>
      <c r="G66" s="29"/>
      <c r="H66" s="29"/>
      <c r="I66" s="29"/>
      <c r="J66" s="29"/>
      <c r="K66" s="29"/>
      <c r="L66" s="29"/>
      <c r="M66" s="29"/>
    </row>
    <row r="67" spans="2:13" x14ac:dyDescent="0.25">
      <c r="B67" s="29"/>
      <c r="C67" s="29"/>
      <c r="D67" s="29"/>
      <c r="E67" s="29"/>
      <c r="F67" s="29"/>
      <c r="G67" s="29"/>
      <c r="H67" s="29"/>
      <c r="I67" s="29"/>
      <c r="J67" s="29"/>
      <c r="K67" s="29"/>
      <c r="L67" s="29"/>
      <c r="M67" s="29"/>
    </row>
    <row r="68" spans="2:13" x14ac:dyDescent="0.25">
      <c r="B68" s="29"/>
      <c r="C68" s="29"/>
      <c r="D68" s="29"/>
      <c r="E68" s="29"/>
      <c r="F68" s="29"/>
      <c r="G68" s="29"/>
      <c r="H68" s="29"/>
      <c r="I68" s="29"/>
      <c r="J68" s="29"/>
      <c r="K68" s="29"/>
      <c r="L68" s="29"/>
      <c r="M68" s="29"/>
    </row>
    <row r="69" spans="2:13" x14ac:dyDescent="0.25">
      <c r="B69" s="29"/>
      <c r="C69" s="29"/>
      <c r="D69" s="29"/>
      <c r="E69" s="29"/>
      <c r="F69" s="29"/>
      <c r="G69" s="29"/>
      <c r="H69" s="29"/>
      <c r="I69" s="29"/>
      <c r="J69" s="29"/>
      <c r="K69" s="29"/>
      <c r="L69" s="29"/>
      <c r="M69" s="29"/>
    </row>
    <row r="70" spans="2:13" x14ac:dyDescent="0.25">
      <c r="B70" s="29"/>
      <c r="C70" s="29"/>
      <c r="D70" s="29"/>
      <c r="E70" s="29"/>
      <c r="F70" s="29"/>
      <c r="G70" s="29"/>
      <c r="H70" s="29"/>
      <c r="I70" s="29"/>
      <c r="J70" s="29"/>
      <c r="K70" s="29"/>
      <c r="L70" s="29"/>
      <c r="M70" s="29"/>
    </row>
    <row r="71" spans="2:13" x14ac:dyDescent="0.25">
      <c r="B71" s="29"/>
      <c r="C71" s="29"/>
      <c r="D71" s="29"/>
      <c r="E71" s="29"/>
      <c r="F71" s="29"/>
      <c r="G71" s="29"/>
      <c r="H71" s="29"/>
      <c r="I71" s="29"/>
      <c r="J71" s="29"/>
      <c r="K71" s="29"/>
      <c r="L71" s="29"/>
      <c r="M71" s="29"/>
    </row>
    <row r="72" spans="2:13" x14ac:dyDescent="0.25">
      <c r="B72" s="29"/>
      <c r="C72" s="29"/>
      <c r="D72" s="29"/>
      <c r="E72" s="29"/>
      <c r="F72" s="29"/>
      <c r="G72" s="29"/>
      <c r="H72" s="29"/>
      <c r="I72" s="29"/>
      <c r="J72" s="29"/>
      <c r="K72" s="29"/>
      <c r="L72" s="29"/>
      <c r="M72" s="29"/>
    </row>
    <row r="73" spans="2:13" x14ac:dyDescent="0.25">
      <c r="B73" s="29"/>
      <c r="C73" s="29"/>
      <c r="D73" s="29"/>
      <c r="E73" s="29"/>
      <c r="F73" s="29"/>
      <c r="G73" s="29"/>
      <c r="H73" s="29"/>
      <c r="I73" s="29"/>
      <c r="J73" s="29"/>
      <c r="K73" s="29"/>
      <c r="L73" s="29"/>
      <c r="M73" s="29"/>
    </row>
    <row r="74" spans="2:13" x14ac:dyDescent="0.25">
      <c r="B74" s="29"/>
      <c r="C74" s="29"/>
      <c r="D74" s="29"/>
      <c r="E74" s="29"/>
      <c r="F74" s="29"/>
      <c r="G74" s="29"/>
      <c r="H74" s="29"/>
      <c r="I74" s="29"/>
      <c r="J74" s="29"/>
      <c r="K74" s="29"/>
      <c r="L74" s="29"/>
      <c r="M74" s="29"/>
    </row>
    <row r="75" spans="2:13" x14ac:dyDescent="0.25">
      <c r="B75" s="29"/>
      <c r="C75" s="29"/>
      <c r="D75" s="29"/>
      <c r="E75" s="29"/>
      <c r="F75" s="29"/>
      <c r="G75" s="29"/>
      <c r="H75" s="29"/>
      <c r="I75" s="29"/>
      <c r="J75" s="29"/>
      <c r="K75" s="29"/>
      <c r="L75" s="29"/>
      <c r="M75" s="29"/>
    </row>
    <row r="76" spans="2:13" x14ac:dyDescent="0.25">
      <c r="B76" s="29"/>
      <c r="C76" s="29"/>
      <c r="D76" s="29"/>
      <c r="E76" s="29"/>
      <c r="F76" s="29"/>
      <c r="G76" s="29"/>
      <c r="H76" s="29"/>
      <c r="I76" s="29"/>
      <c r="J76" s="29"/>
      <c r="K76" s="29"/>
      <c r="L76" s="29"/>
      <c r="M76" s="29"/>
    </row>
    <row r="77" spans="2:13" x14ac:dyDescent="0.25">
      <c r="B77" s="29"/>
      <c r="C77" s="29"/>
      <c r="D77" s="29"/>
      <c r="E77" s="29"/>
      <c r="F77" s="29"/>
      <c r="G77" s="29"/>
      <c r="H77" s="29"/>
      <c r="I77" s="29"/>
      <c r="J77" s="29"/>
      <c r="K77" s="29"/>
      <c r="L77" s="29"/>
      <c r="M77" s="29"/>
    </row>
    <row r="78" spans="2:13" x14ac:dyDescent="0.25">
      <c r="B78" s="29"/>
      <c r="C78" s="29"/>
      <c r="D78" s="29"/>
      <c r="E78" s="29"/>
      <c r="F78" s="29"/>
      <c r="G78" s="29"/>
      <c r="H78" s="29"/>
      <c r="I78" s="29"/>
      <c r="J78" s="29"/>
      <c r="K78" s="29"/>
      <c r="L78" s="29"/>
      <c r="M78" s="29"/>
    </row>
    <row r="79" spans="2:13" x14ac:dyDescent="0.25">
      <c r="B79" s="29"/>
      <c r="C79" s="29"/>
      <c r="D79" s="29"/>
      <c r="E79" s="29"/>
      <c r="F79" s="29"/>
      <c r="G79" s="29"/>
      <c r="H79" s="29"/>
      <c r="I79" s="29"/>
      <c r="J79" s="29"/>
      <c r="K79" s="29"/>
      <c r="L79" s="29"/>
      <c r="M79" s="29"/>
    </row>
    <row r="80" spans="2:13" x14ac:dyDescent="0.25">
      <c r="B80" s="29"/>
      <c r="C80" s="29"/>
      <c r="D80" s="29"/>
      <c r="E80" s="29"/>
      <c r="F80" s="29"/>
      <c r="G80" s="29"/>
      <c r="H80" s="29"/>
      <c r="I80" s="29"/>
      <c r="J80" s="29"/>
      <c r="K80" s="29"/>
      <c r="L80" s="29"/>
      <c r="M80" s="29"/>
    </row>
    <row r="81" spans="2:13" x14ac:dyDescent="0.25">
      <c r="B81" s="29"/>
      <c r="C81" s="29"/>
      <c r="D81" s="29"/>
      <c r="E81" s="29"/>
      <c r="F81" s="29"/>
      <c r="G81" s="29"/>
      <c r="H81" s="29"/>
      <c r="I81" s="29"/>
      <c r="J81" s="29"/>
      <c r="K81" s="29"/>
      <c r="L81" s="29"/>
      <c r="M81" s="29"/>
    </row>
    <row r="82" spans="2:13" x14ac:dyDescent="0.25">
      <c r="B82" s="29"/>
      <c r="C82" s="29"/>
      <c r="D82" s="29"/>
      <c r="E82" s="29"/>
      <c r="F82" s="29"/>
      <c r="G82" s="29"/>
      <c r="H82" s="29"/>
      <c r="I82" s="29"/>
      <c r="J82" s="29"/>
      <c r="K82" s="29"/>
      <c r="L82" s="29"/>
      <c r="M82" s="29"/>
    </row>
    <row r="83" spans="2:13" x14ac:dyDescent="0.25">
      <c r="B83" s="29"/>
      <c r="C83" s="29"/>
      <c r="D83" s="29"/>
      <c r="E83" s="29"/>
      <c r="F83" s="29"/>
      <c r="G83" s="29"/>
      <c r="H83" s="29"/>
      <c r="I83" s="29"/>
      <c r="J83" s="29"/>
      <c r="K83" s="29"/>
      <c r="L83" s="29"/>
      <c r="M83" s="29"/>
    </row>
    <row r="84" spans="2:13" x14ac:dyDescent="0.25">
      <c r="B84" s="29"/>
      <c r="C84" s="29"/>
      <c r="D84" s="29"/>
      <c r="E84" s="29"/>
      <c r="F84" s="29"/>
      <c r="G84" s="29"/>
      <c r="H84" s="29"/>
      <c r="I84" s="29"/>
      <c r="J84" s="29"/>
      <c r="K84" s="29"/>
      <c r="L84" s="29"/>
      <c r="M84" s="29"/>
    </row>
    <row r="85" spans="2:13" x14ac:dyDescent="0.25">
      <c r="B85" s="29"/>
      <c r="C85" s="29"/>
      <c r="D85" s="29"/>
      <c r="E85" s="29"/>
      <c r="F85" s="29"/>
      <c r="G85" s="29"/>
      <c r="H85" s="29"/>
      <c r="I85" s="29"/>
      <c r="J85" s="29"/>
      <c r="K85" s="29"/>
      <c r="L85" s="29"/>
      <c r="M85" s="29"/>
    </row>
    <row r="86" spans="2:13" x14ac:dyDescent="0.25">
      <c r="B86" s="29"/>
      <c r="C86" s="29"/>
      <c r="D86" s="29"/>
      <c r="E86" s="29"/>
      <c r="F86" s="29"/>
      <c r="G86" s="29"/>
      <c r="H86" s="29"/>
      <c r="I86" s="29"/>
      <c r="J86" s="29"/>
      <c r="K86" s="29"/>
      <c r="L86" s="29"/>
      <c r="M86" s="29"/>
    </row>
    <row r="87" spans="2:13" x14ac:dyDescent="0.25">
      <c r="B87" s="29"/>
      <c r="C87" s="29"/>
      <c r="D87" s="29"/>
      <c r="E87" s="29"/>
      <c r="F87" s="29"/>
      <c r="G87" s="29"/>
      <c r="H87" s="29"/>
      <c r="I87" s="29"/>
      <c r="J87" s="29"/>
      <c r="K87" s="29"/>
      <c r="L87" s="29"/>
      <c r="M87" s="29"/>
    </row>
    <row r="88" spans="2:13" x14ac:dyDescent="0.25">
      <c r="B88" s="29"/>
      <c r="C88" s="29"/>
      <c r="D88" s="29"/>
      <c r="E88" s="29"/>
      <c r="F88" s="29"/>
      <c r="G88" s="29"/>
      <c r="H88" s="29"/>
      <c r="I88" s="29"/>
      <c r="J88" s="29"/>
      <c r="K88" s="29"/>
      <c r="L88" s="29"/>
      <c r="M88" s="29"/>
    </row>
    <row r="89" spans="2:13" x14ac:dyDescent="0.25">
      <c r="B89" s="29"/>
      <c r="C89" s="29"/>
      <c r="D89" s="29"/>
      <c r="E89" s="29"/>
      <c r="F89" s="29"/>
      <c r="G89" s="29"/>
      <c r="H89" s="29"/>
      <c r="I89" s="29"/>
      <c r="J89" s="29"/>
      <c r="K89" s="29"/>
      <c r="L89" s="29"/>
      <c r="M89" s="29"/>
    </row>
    <row r="90" spans="2:13" x14ac:dyDescent="0.25">
      <c r="B90" s="29"/>
      <c r="C90" s="29"/>
      <c r="D90" s="29"/>
      <c r="E90" s="29"/>
      <c r="F90" s="29"/>
      <c r="G90" s="29"/>
      <c r="H90" s="29"/>
      <c r="I90" s="29"/>
      <c r="J90" s="29"/>
      <c r="K90" s="29"/>
      <c r="L90" s="29"/>
      <c r="M90" s="29"/>
    </row>
    <row r="91" spans="2:13" x14ac:dyDescent="0.25">
      <c r="B91" s="29"/>
      <c r="C91" s="29"/>
      <c r="D91" s="29"/>
      <c r="E91" s="29"/>
      <c r="F91" s="29"/>
      <c r="G91" s="29"/>
      <c r="H91" s="29"/>
      <c r="I91" s="29"/>
      <c r="J91" s="29"/>
      <c r="K91" s="29"/>
      <c r="L91" s="29"/>
      <c r="M91" s="29"/>
    </row>
    <row r="92" spans="2:13" x14ac:dyDescent="0.25">
      <c r="B92" s="29"/>
      <c r="C92" s="29"/>
      <c r="D92" s="29"/>
      <c r="E92" s="29"/>
      <c r="F92" s="29"/>
      <c r="G92" s="29"/>
      <c r="H92" s="29"/>
      <c r="I92" s="29"/>
      <c r="J92" s="29"/>
      <c r="K92" s="29"/>
      <c r="L92" s="29"/>
      <c r="M92" s="29"/>
    </row>
    <row r="93" spans="2:13" x14ac:dyDescent="0.25">
      <c r="B93" s="29"/>
      <c r="C93" s="29"/>
      <c r="D93" s="29"/>
      <c r="E93" s="29"/>
      <c r="F93" s="29"/>
      <c r="G93" s="29"/>
      <c r="H93" s="29"/>
      <c r="I93" s="29"/>
      <c r="J93" s="29"/>
      <c r="K93" s="29"/>
      <c r="L93" s="29"/>
      <c r="M93" s="29"/>
    </row>
    <row r="94" spans="2:13" x14ac:dyDescent="0.25">
      <c r="B94" s="29"/>
      <c r="C94" s="29"/>
      <c r="D94" s="29"/>
      <c r="E94" s="29"/>
      <c r="F94" s="29"/>
      <c r="G94" s="29"/>
      <c r="H94" s="29"/>
      <c r="I94" s="29"/>
      <c r="J94" s="29"/>
      <c r="K94" s="29"/>
      <c r="L94" s="29"/>
      <c r="M94" s="29"/>
    </row>
    <row r="95" spans="2:13" x14ac:dyDescent="0.25">
      <c r="B95" s="29"/>
      <c r="C95" s="29"/>
      <c r="D95" s="29"/>
      <c r="E95" s="29"/>
      <c r="F95" s="29"/>
      <c r="G95" s="29"/>
      <c r="H95" s="29"/>
      <c r="I95" s="29"/>
      <c r="J95" s="29"/>
      <c r="K95" s="29"/>
      <c r="L95" s="29"/>
      <c r="M95" s="29"/>
    </row>
    <row r="96" spans="2:13" x14ac:dyDescent="0.25">
      <c r="B96" s="29"/>
      <c r="C96" s="29"/>
      <c r="D96" s="29"/>
      <c r="E96" s="29"/>
      <c r="F96" s="29"/>
      <c r="G96" s="29"/>
      <c r="H96" s="29"/>
      <c r="I96" s="29"/>
      <c r="J96" s="29"/>
      <c r="K96" s="29"/>
      <c r="L96" s="29"/>
      <c r="M96" s="29"/>
    </row>
    <row r="97" spans="2:13" x14ac:dyDescent="0.25">
      <c r="B97" s="29"/>
      <c r="C97" s="29"/>
      <c r="D97" s="29"/>
      <c r="E97" s="29"/>
      <c r="F97" s="29"/>
      <c r="G97" s="29"/>
      <c r="H97" s="29"/>
      <c r="I97" s="29"/>
      <c r="J97" s="29"/>
      <c r="K97" s="29"/>
      <c r="L97" s="29"/>
      <c r="M97" s="29"/>
    </row>
    <row r="98" spans="2:13" x14ac:dyDescent="0.25">
      <c r="B98" s="29"/>
      <c r="C98" s="29"/>
      <c r="D98" s="29"/>
      <c r="E98" s="29"/>
      <c r="F98" s="29"/>
      <c r="G98" s="29"/>
      <c r="H98" s="29"/>
      <c r="I98" s="29"/>
      <c r="J98" s="29"/>
      <c r="K98" s="29"/>
      <c r="L98" s="29"/>
      <c r="M98" s="29"/>
    </row>
    <row r="99" spans="2:13" x14ac:dyDescent="0.25">
      <c r="B99" s="29"/>
      <c r="C99" s="29"/>
      <c r="D99" s="29"/>
      <c r="E99" s="29"/>
      <c r="F99" s="29"/>
      <c r="G99" s="29"/>
      <c r="H99" s="29"/>
      <c r="I99" s="29"/>
      <c r="J99" s="29"/>
      <c r="K99" s="29"/>
      <c r="L99" s="29"/>
      <c r="M99" s="29"/>
    </row>
    <row r="100" spans="2:13" x14ac:dyDescent="0.25">
      <c r="B100" s="29"/>
      <c r="C100" s="29"/>
      <c r="D100" s="29"/>
      <c r="E100" s="29"/>
      <c r="F100" s="29"/>
      <c r="G100" s="29"/>
      <c r="H100" s="29"/>
      <c r="I100" s="29"/>
      <c r="J100" s="29"/>
      <c r="K100" s="29"/>
      <c r="L100" s="29"/>
      <c r="M100" s="29"/>
    </row>
    <row r="101" spans="2:13" x14ac:dyDescent="0.25">
      <c r="B101" s="29"/>
      <c r="C101" s="29"/>
      <c r="D101" s="29"/>
      <c r="E101" s="29"/>
      <c r="F101" s="29"/>
      <c r="G101" s="29"/>
      <c r="H101" s="29"/>
      <c r="I101" s="29"/>
      <c r="J101" s="29"/>
      <c r="K101" s="29"/>
      <c r="L101" s="29"/>
      <c r="M101" s="29"/>
    </row>
    <row r="102" spans="2:13" x14ac:dyDescent="0.25">
      <c r="B102" s="29"/>
      <c r="C102" s="29"/>
      <c r="D102" s="29"/>
      <c r="E102" s="29"/>
      <c r="F102" s="29"/>
      <c r="G102" s="29"/>
      <c r="H102" s="29"/>
      <c r="I102" s="29"/>
      <c r="J102" s="29"/>
      <c r="K102" s="29"/>
      <c r="L102" s="29"/>
      <c r="M102" s="29"/>
    </row>
    <row r="103" spans="2:13" x14ac:dyDescent="0.25">
      <c r="B103" s="29"/>
      <c r="C103" s="29"/>
      <c r="D103" s="29"/>
      <c r="E103" s="29"/>
      <c r="F103" s="29"/>
      <c r="G103" s="29"/>
      <c r="H103" s="29"/>
      <c r="I103" s="29"/>
      <c r="J103" s="29"/>
      <c r="K103" s="29"/>
      <c r="L103" s="29"/>
      <c r="M103" s="29"/>
    </row>
    <row r="104" spans="2:13" x14ac:dyDescent="0.25">
      <c r="B104" s="29"/>
      <c r="C104" s="29"/>
      <c r="D104" s="29"/>
      <c r="E104" s="29"/>
      <c r="F104" s="29"/>
      <c r="G104" s="29"/>
      <c r="H104" s="29"/>
      <c r="I104" s="29"/>
      <c r="J104" s="29"/>
      <c r="K104" s="29"/>
      <c r="L104" s="29"/>
      <c r="M104" s="29"/>
    </row>
    <row r="105" spans="2:13" x14ac:dyDescent="0.25">
      <c r="B105" s="29"/>
      <c r="C105" s="29"/>
      <c r="D105" s="29"/>
      <c r="E105" s="29"/>
      <c r="F105" s="29"/>
      <c r="G105" s="29"/>
      <c r="H105" s="29"/>
      <c r="I105" s="29"/>
      <c r="J105" s="29"/>
      <c r="K105" s="29"/>
      <c r="L105" s="29"/>
      <c r="M105" s="29"/>
    </row>
    <row r="106" spans="2:13" x14ac:dyDescent="0.25">
      <c r="B106" s="29"/>
      <c r="C106" s="29"/>
      <c r="D106" s="29"/>
      <c r="E106" s="29"/>
      <c r="F106" s="29"/>
      <c r="G106" s="29"/>
      <c r="H106" s="29"/>
      <c r="I106" s="29"/>
      <c r="J106" s="29"/>
      <c r="K106" s="29"/>
      <c r="L106" s="29"/>
      <c r="M106" s="29"/>
    </row>
    <row r="107" spans="2:13" x14ac:dyDescent="0.25">
      <c r="B107" s="29"/>
      <c r="C107" s="29"/>
      <c r="D107" s="29"/>
      <c r="E107" s="29"/>
      <c r="F107" s="29"/>
      <c r="G107" s="29"/>
      <c r="H107" s="29"/>
      <c r="I107" s="29"/>
      <c r="J107" s="29"/>
      <c r="K107" s="29"/>
      <c r="L107" s="29"/>
      <c r="M107" s="29"/>
    </row>
    <row r="108" spans="2:13" x14ac:dyDescent="0.25">
      <c r="B108" s="29"/>
      <c r="C108" s="29"/>
      <c r="D108" s="29"/>
      <c r="E108" s="29"/>
      <c r="F108" s="29"/>
      <c r="G108" s="29"/>
      <c r="H108" s="29"/>
      <c r="I108" s="29"/>
      <c r="J108" s="29"/>
      <c r="K108" s="29"/>
      <c r="L108" s="29"/>
      <c r="M108" s="29"/>
    </row>
    <row r="109" spans="2:13" x14ac:dyDescent="0.25">
      <c r="B109" s="29"/>
      <c r="C109" s="29"/>
      <c r="D109" s="29"/>
      <c r="E109" s="29"/>
      <c r="F109" s="29"/>
      <c r="G109" s="29"/>
      <c r="H109" s="29"/>
      <c r="I109" s="29"/>
      <c r="J109" s="29"/>
      <c r="K109" s="29"/>
      <c r="L109" s="29"/>
      <c r="M109" s="29"/>
    </row>
    <row r="110" spans="2:13" x14ac:dyDescent="0.25">
      <c r="B110" s="29"/>
      <c r="C110" s="29"/>
      <c r="D110" s="29"/>
      <c r="E110" s="29"/>
      <c r="F110" s="29"/>
      <c r="G110" s="29"/>
      <c r="H110" s="29"/>
      <c r="I110" s="29"/>
      <c r="J110" s="29"/>
      <c r="K110" s="29"/>
      <c r="L110" s="29"/>
      <c r="M110" s="29"/>
    </row>
    <row r="111" spans="2:13" x14ac:dyDescent="0.25">
      <c r="B111" s="29"/>
      <c r="C111" s="29"/>
      <c r="D111" s="29"/>
      <c r="E111" s="29"/>
      <c r="F111" s="29"/>
      <c r="G111" s="29"/>
      <c r="H111" s="29"/>
      <c r="I111" s="29"/>
      <c r="J111" s="29"/>
      <c r="K111" s="29"/>
      <c r="L111" s="29"/>
      <c r="M111" s="29"/>
    </row>
    <row r="112" spans="2:13" x14ac:dyDescent="0.25">
      <c r="B112" s="29"/>
      <c r="C112" s="29"/>
      <c r="D112" s="29"/>
      <c r="E112" s="29"/>
      <c r="F112" s="29"/>
      <c r="G112" s="29"/>
      <c r="H112" s="29"/>
      <c r="I112" s="29"/>
      <c r="J112" s="29"/>
      <c r="K112" s="29"/>
      <c r="L112" s="29"/>
      <c r="M112" s="29"/>
    </row>
    <row r="113" spans="2:13" x14ac:dyDescent="0.25">
      <c r="B113" s="29"/>
      <c r="C113" s="29"/>
      <c r="D113" s="29"/>
      <c r="E113" s="29"/>
      <c r="F113" s="29"/>
      <c r="G113" s="29"/>
      <c r="H113" s="29"/>
      <c r="I113" s="29"/>
      <c r="J113" s="29"/>
      <c r="K113" s="29"/>
      <c r="L113" s="29"/>
      <c r="M113" s="29"/>
    </row>
    <row r="114" spans="2:13" x14ac:dyDescent="0.25">
      <c r="B114" s="29"/>
      <c r="C114" s="29"/>
      <c r="D114" s="29"/>
      <c r="E114" s="29"/>
      <c r="F114" s="29"/>
      <c r="G114" s="29"/>
      <c r="H114" s="29"/>
      <c r="I114" s="29"/>
      <c r="J114" s="29"/>
      <c r="K114" s="29"/>
      <c r="L114" s="29"/>
      <c r="M114" s="29"/>
    </row>
    <row r="115" spans="2:13" x14ac:dyDescent="0.25">
      <c r="B115" s="29"/>
      <c r="C115" s="29"/>
      <c r="D115" s="29"/>
      <c r="E115" s="29"/>
      <c r="F115" s="29"/>
      <c r="G115" s="29"/>
      <c r="H115" s="29"/>
      <c r="I115" s="29"/>
      <c r="J115" s="29"/>
      <c r="K115" s="29"/>
      <c r="L115" s="29"/>
      <c r="M115" s="29"/>
    </row>
    <row r="116" spans="2:13" x14ac:dyDescent="0.25">
      <c r="B116" s="29"/>
      <c r="C116" s="29"/>
      <c r="D116" s="29"/>
      <c r="E116" s="29"/>
      <c r="F116" s="29"/>
      <c r="G116" s="29"/>
      <c r="H116" s="29"/>
      <c r="I116" s="29"/>
      <c r="J116" s="29"/>
      <c r="K116" s="29"/>
      <c r="L116" s="29"/>
      <c r="M116" s="29"/>
    </row>
    <row r="117" spans="2:13" x14ac:dyDescent="0.25">
      <c r="B117" s="29"/>
      <c r="C117" s="29"/>
      <c r="D117" s="29"/>
      <c r="E117" s="29"/>
      <c r="F117" s="29"/>
      <c r="G117" s="29"/>
      <c r="H117" s="29"/>
      <c r="I117" s="29"/>
      <c r="J117" s="29"/>
      <c r="K117" s="29"/>
      <c r="L117" s="29"/>
      <c r="M117" s="29"/>
    </row>
    <row r="118" spans="2:13" x14ac:dyDescent="0.25">
      <c r="B118" s="29"/>
      <c r="C118" s="29"/>
      <c r="D118" s="29"/>
      <c r="E118" s="29"/>
      <c r="F118" s="29"/>
      <c r="G118" s="29"/>
      <c r="H118" s="29"/>
      <c r="I118" s="29"/>
      <c r="J118" s="29"/>
      <c r="K118" s="29"/>
      <c r="L118" s="29"/>
      <c r="M118" s="29"/>
    </row>
    <row r="119" spans="2:13" x14ac:dyDescent="0.25">
      <c r="B119" s="29"/>
      <c r="C119" s="29"/>
      <c r="D119" s="29"/>
      <c r="E119" s="29"/>
      <c r="F119" s="29"/>
      <c r="G119" s="29"/>
      <c r="H119" s="29"/>
      <c r="I119" s="29"/>
      <c r="J119" s="29"/>
      <c r="K119" s="29"/>
      <c r="L119" s="29"/>
      <c r="M119" s="29"/>
    </row>
    <row r="120" spans="2:13" x14ac:dyDescent="0.25">
      <c r="B120" s="29"/>
      <c r="C120" s="29"/>
      <c r="D120" s="29"/>
      <c r="E120" s="29"/>
      <c r="F120" s="29"/>
      <c r="G120" s="29"/>
      <c r="H120" s="29"/>
      <c r="I120" s="29"/>
      <c r="J120" s="29"/>
      <c r="K120" s="29"/>
      <c r="L120" s="29"/>
      <c r="M120" s="29"/>
    </row>
    <row r="121" spans="2:13" x14ac:dyDescent="0.25">
      <c r="B121" s="29"/>
      <c r="C121" s="29"/>
      <c r="D121" s="29"/>
      <c r="E121" s="29"/>
      <c r="F121" s="29"/>
      <c r="G121" s="29"/>
      <c r="H121" s="29"/>
      <c r="I121" s="29"/>
      <c r="J121" s="29"/>
      <c r="K121" s="29"/>
      <c r="L121" s="29"/>
      <c r="M121" s="29"/>
    </row>
  </sheetData>
  <sheetProtection algorithmName="SHA-512" hashValue="Zu+fURBfngjRYUNTlaS/QfgIbZ6T8jpwVAt62nGuzZ+OEOMN2kWpLZpx74rrK1QREbqIXgVLNk4l8hFwn541tw==" saltValue="1weYTYjXwJifU1K1eO2w7g==" spinCount="100000" sheet="1" objects="1" scenarios="1" selectLockedCells="1" selectUnlockedCells="1"/>
  <mergeCells count="6">
    <mergeCell ref="B36:M36"/>
    <mergeCell ref="B3:N5"/>
    <mergeCell ref="B7:M7"/>
    <mergeCell ref="B8:M8"/>
    <mergeCell ref="B34:M34"/>
    <mergeCell ref="B35:M3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814A8-7857-4018-B670-53D4A6E52555}">
  <dimension ref="A3:AI97"/>
  <sheetViews>
    <sheetView showRowColHeaders="0" zoomScaleNormal="100" workbookViewId="0">
      <selection activeCell="F14" sqref="F14"/>
    </sheetView>
  </sheetViews>
  <sheetFormatPr defaultColWidth="9.140625" defaultRowHeight="15" x14ac:dyDescent="0.25"/>
  <cols>
    <col min="1" max="13" width="9.140625" style="127"/>
    <col min="14" max="14" width="1.7109375" style="127" customWidth="1"/>
    <col min="15" max="26" width="9.140625" style="127"/>
    <col min="27" max="27" width="2.85546875" style="127" customWidth="1"/>
    <col min="28" max="29" width="9.140625" style="127" hidden="1" customWidth="1"/>
    <col min="30" max="30" width="8.5703125" style="127" hidden="1" customWidth="1"/>
    <col min="31" max="31" width="24.85546875" style="127" customWidth="1"/>
    <col min="32" max="33" width="9.140625" style="127"/>
    <col min="34" max="34" width="6.140625" style="127" customWidth="1"/>
    <col min="35" max="35" width="9.140625" style="127" hidden="1" customWidth="1"/>
    <col min="36" max="16384" width="9.140625" style="127"/>
  </cols>
  <sheetData>
    <row r="3" spans="1:35" ht="15.75" customHeight="1" x14ac:dyDescent="0.25">
      <c r="A3" s="191"/>
      <c r="B3" s="237" t="s">
        <v>7</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I3" s="210"/>
    </row>
    <row r="4" spans="1:35" ht="15" customHeight="1" x14ac:dyDescent="0.25">
      <c r="A4" s="191"/>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I4" s="210"/>
    </row>
    <row r="5" spans="1:35" ht="8.25" customHeight="1" x14ac:dyDescent="0.25">
      <c r="B5" s="122"/>
      <c r="C5" s="1"/>
      <c r="D5" s="1"/>
      <c r="E5" s="1"/>
      <c r="F5" s="1"/>
      <c r="G5" s="1"/>
      <c r="H5" s="1"/>
      <c r="I5" s="1"/>
      <c r="J5" s="1"/>
      <c r="K5" s="1"/>
      <c r="L5" s="1"/>
      <c r="M5" s="1"/>
      <c r="N5" s="112"/>
    </row>
    <row r="6" spans="1:35" ht="26.25" customHeight="1" x14ac:dyDescent="0.25">
      <c r="B6" s="231" t="s">
        <v>8</v>
      </c>
      <c r="C6" s="232"/>
      <c r="D6" s="232"/>
      <c r="E6" s="232"/>
      <c r="F6" s="232"/>
      <c r="G6" s="232"/>
      <c r="H6" s="232"/>
      <c r="I6" s="232"/>
      <c r="J6" s="232"/>
      <c r="K6" s="232"/>
      <c r="L6" s="232"/>
      <c r="M6" s="232"/>
      <c r="N6" s="112"/>
    </row>
    <row r="7" spans="1:35" ht="47.25" customHeight="1" x14ac:dyDescent="0.25">
      <c r="B7" s="238" t="s">
        <v>9</v>
      </c>
      <c r="C7" s="239"/>
      <c r="D7" s="239"/>
      <c r="E7" s="239"/>
      <c r="F7" s="239"/>
      <c r="G7" s="239"/>
      <c r="H7" s="239"/>
      <c r="I7" s="239"/>
      <c r="J7" s="239"/>
      <c r="K7" s="239"/>
      <c r="L7" s="239"/>
      <c r="M7" s="239"/>
      <c r="N7" s="112"/>
    </row>
    <row r="8" spans="1:35" ht="35.450000000000003" customHeight="1" x14ac:dyDescent="0.25">
      <c r="B8" s="238" t="s">
        <v>10</v>
      </c>
      <c r="C8" s="239"/>
      <c r="D8" s="239"/>
      <c r="E8" s="239"/>
      <c r="F8" s="239"/>
      <c r="G8" s="239"/>
      <c r="H8" s="239"/>
      <c r="I8" s="239"/>
      <c r="J8" s="239"/>
      <c r="K8" s="239"/>
      <c r="L8" s="239"/>
      <c r="M8" s="239"/>
      <c r="N8" s="112"/>
    </row>
    <row r="9" spans="1:35" ht="66.75" customHeight="1" x14ac:dyDescent="0.25">
      <c r="B9" s="235" t="s">
        <v>11</v>
      </c>
      <c r="C9" s="236"/>
      <c r="D9" s="236"/>
      <c r="E9" s="236"/>
      <c r="F9" s="236"/>
      <c r="G9" s="236"/>
      <c r="H9" s="236"/>
      <c r="I9" s="236"/>
      <c r="J9" s="236"/>
      <c r="K9" s="236"/>
      <c r="L9" s="236"/>
      <c r="M9" s="236"/>
      <c r="N9" s="112"/>
    </row>
    <row r="10" spans="1:35" ht="75" customHeight="1" x14ac:dyDescent="0.25">
      <c r="B10" s="235" t="s">
        <v>12</v>
      </c>
      <c r="C10" s="236"/>
      <c r="D10" s="236"/>
      <c r="E10" s="236"/>
      <c r="F10" s="236"/>
      <c r="G10" s="236"/>
      <c r="H10" s="236"/>
      <c r="I10" s="236"/>
      <c r="J10" s="236"/>
      <c r="K10" s="236"/>
      <c r="L10" s="236"/>
      <c r="M10" s="236"/>
      <c r="N10" s="112"/>
    </row>
    <row r="11" spans="1:35" ht="75.75" customHeight="1" x14ac:dyDescent="0.25">
      <c r="B11" s="235" t="s">
        <v>13</v>
      </c>
      <c r="C11" s="236"/>
      <c r="D11" s="236"/>
      <c r="E11" s="236"/>
      <c r="F11" s="236"/>
      <c r="G11" s="236"/>
      <c r="H11" s="236"/>
      <c r="I11" s="236"/>
      <c r="J11" s="236"/>
      <c r="K11" s="236"/>
      <c r="L11" s="236"/>
      <c r="M11" s="236"/>
      <c r="N11" s="112"/>
    </row>
    <row r="12" spans="1:35" ht="51" customHeight="1" thickBot="1" x14ac:dyDescent="0.3">
      <c r="B12" s="240" t="s">
        <v>14</v>
      </c>
      <c r="C12" s="241"/>
      <c r="D12" s="241"/>
      <c r="E12" s="241"/>
      <c r="F12" s="241"/>
      <c r="G12" s="241"/>
      <c r="H12" s="241"/>
      <c r="I12" s="241"/>
      <c r="J12" s="241"/>
      <c r="K12" s="241"/>
      <c r="L12" s="241"/>
      <c r="M12" s="241"/>
      <c r="N12" s="126"/>
    </row>
    <row r="13" spans="1:35" ht="15.75" thickTop="1" x14ac:dyDescent="0.25">
      <c r="B13" s="29"/>
      <c r="C13" s="29"/>
      <c r="D13" s="29"/>
      <c r="E13" s="29"/>
      <c r="F13" s="29"/>
      <c r="G13" s="29"/>
      <c r="H13" s="29"/>
      <c r="I13" s="29"/>
      <c r="J13" s="29"/>
      <c r="K13" s="29"/>
      <c r="L13" s="29"/>
      <c r="M13" s="29"/>
    </row>
    <row r="14" spans="1:35" x14ac:dyDescent="0.25">
      <c r="B14" s="29"/>
      <c r="C14" s="29"/>
      <c r="D14" s="29"/>
      <c r="E14" s="29"/>
      <c r="F14" s="29"/>
      <c r="G14" s="29"/>
      <c r="H14" s="29"/>
      <c r="I14" s="29"/>
      <c r="J14" s="29"/>
      <c r="K14" s="29"/>
      <c r="L14" s="29"/>
      <c r="M14" s="29"/>
    </row>
    <row r="15" spans="1:35" x14ac:dyDescent="0.25">
      <c r="B15" s="29"/>
      <c r="C15" s="29"/>
      <c r="D15" s="29"/>
      <c r="E15" s="29"/>
      <c r="F15" s="29"/>
      <c r="G15" s="29"/>
      <c r="H15" s="29"/>
      <c r="I15" s="29"/>
      <c r="J15" s="29"/>
      <c r="K15" s="29"/>
      <c r="L15" s="29"/>
      <c r="M15" s="29"/>
    </row>
    <row r="16" spans="1:35" x14ac:dyDescent="0.25">
      <c r="B16" s="29"/>
      <c r="C16" s="29"/>
      <c r="D16" s="29"/>
      <c r="E16" s="29"/>
      <c r="F16" s="29"/>
      <c r="G16" s="29"/>
      <c r="H16" s="29"/>
      <c r="I16" s="29"/>
      <c r="J16" s="29"/>
      <c r="K16" s="29"/>
      <c r="L16" s="29"/>
      <c r="M16" s="29"/>
    </row>
    <row r="17" spans="2:13" x14ac:dyDescent="0.25">
      <c r="B17" s="29"/>
      <c r="C17" s="29"/>
      <c r="D17" s="29"/>
      <c r="E17" s="29"/>
      <c r="F17" s="29"/>
      <c r="G17" s="29"/>
      <c r="H17" s="29"/>
      <c r="I17" s="29"/>
      <c r="J17" s="29"/>
      <c r="K17" s="29"/>
      <c r="L17" s="29"/>
      <c r="M17" s="29"/>
    </row>
    <row r="18" spans="2:13" x14ac:dyDescent="0.25">
      <c r="B18" s="29"/>
      <c r="C18" s="29"/>
      <c r="D18" s="29"/>
      <c r="E18" s="29"/>
      <c r="F18" s="29"/>
      <c r="G18" s="29"/>
      <c r="H18" s="29"/>
      <c r="I18" s="29"/>
      <c r="J18" s="29"/>
      <c r="K18" s="29"/>
      <c r="L18" s="29"/>
      <c r="M18" s="29"/>
    </row>
    <row r="19" spans="2:13" x14ac:dyDescent="0.25">
      <c r="B19" s="29"/>
      <c r="C19" s="29"/>
      <c r="D19" s="29"/>
      <c r="E19" s="29"/>
      <c r="F19" s="29"/>
      <c r="G19" s="29"/>
      <c r="H19" s="29"/>
      <c r="I19" s="29"/>
      <c r="J19" s="29"/>
      <c r="K19" s="29"/>
      <c r="L19" s="29"/>
      <c r="M19" s="29"/>
    </row>
    <row r="20" spans="2:13" x14ac:dyDescent="0.25">
      <c r="B20" s="29"/>
      <c r="C20" s="29"/>
      <c r="D20" s="29"/>
      <c r="E20" s="29"/>
      <c r="F20" s="29"/>
      <c r="G20" s="29"/>
      <c r="H20" s="29"/>
      <c r="I20" s="29"/>
      <c r="J20" s="29"/>
      <c r="K20" s="29"/>
      <c r="L20" s="29"/>
      <c r="M20" s="29"/>
    </row>
    <row r="21" spans="2:13" x14ac:dyDescent="0.25">
      <c r="B21" s="29"/>
      <c r="C21" s="29"/>
      <c r="D21" s="29"/>
      <c r="E21" s="29"/>
      <c r="F21" s="29"/>
      <c r="G21" s="29"/>
      <c r="H21" s="29"/>
      <c r="I21" s="29"/>
      <c r="J21" s="29"/>
      <c r="K21" s="29"/>
      <c r="L21" s="29"/>
      <c r="M21" s="29"/>
    </row>
    <row r="22" spans="2:13" x14ac:dyDescent="0.25">
      <c r="B22" s="29"/>
      <c r="C22" s="29"/>
      <c r="D22" s="29"/>
      <c r="E22" s="29"/>
      <c r="F22" s="29"/>
      <c r="G22" s="29"/>
      <c r="H22" s="29"/>
      <c r="I22" s="29"/>
      <c r="J22" s="29"/>
      <c r="K22" s="29"/>
      <c r="L22" s="29"/>
      <c r="M22" s="29"/>
    </row>
    <row r="23" spans="2:13" x14ac:dyDescent="0.25">
      <c r="B23" s="29"/>
      <c r="C23" s="29"/>
      <c r="D23" s="29"/>
      <c r="E23" s="29"/>
      <c r="F23" s="29"/>
      <c r="G23" s="29"/>
      <c r="H23" s="29"/>
      <c r="I23" s="29"/>
      <c r="J23" s="29"/>
      <c r="K23" s="29"/>
      <c r="L23" s="29"/>
      <c r="M23" s="29"/>
    </row>
    <row r="24" spans="2:13" x14ac:dyDescent="0.25">
      <c r="B24" s="29"/>
      <c r="C24" s="29"/>
      <c r="D24" s="29"/>
      <c r="E24" s="29"/>
      <c r="F24" s="29"/>
      <c r="G24" s="29"/>
      <c r="H24" s="29"/>
      <c r="I24" s="29"/>
      <c r="J24" s="29"/>
      <c r="K24" s="29"/>
      <c r="L24" s="29"/>
      <c r="M24" s="29"/>
    </row>
    <row r="25" spans="2:13" x14ac:dyDescent="0.25">
      <c r="B25" s="29"/>
      <c r="C25" s="29"/>
      <c r="D25" s="29"/>
      <c r="E25" s="29"/>
      <c r="F25" s="29"/>
      <c r="G25" s="29"/>
      <c r="H25" s="29"/>
      <c r="I25" s="29"/>
      <c r="J25" s="29"/>
      <c r="K25" s="29"/>
      <c r="L25" s="29"/>
      <c r="M25" s="29"/>
    </row>
    <row r="26" spans="2:13" x14ac:dyDescent="0.25">
      <c r="B26" s="29"/>
      <c r="C26" s="29"/>
      <c r="D26" s="29"/>
      <c r="E26" s="29"/>
      <c r="F26" s="29"/>
      <c r="G26" s="29"/>
      <c r="H26" s="29"/>
      <c r="I26" s="29"/>
      <c r="J26" s="29"/>
      <c r="K26" s="29"/>
      <c r="L26" s="29"/>
      <c r="M26" s="29"/>
    </row>
    <row r="27" spans="2:13" x14ac:dyDescent="0.25">
      <c r="B27" s="29"/>
      <c r="C27" s="29"/>
      <c r="D27" s="29"/>
      <c r="E27" s="29"/>
      <c r="F27" s="29"/>
      <c r="G27" s="29"/>
      <c r="H27" s="29"/>
      <c r="I27" s="29"/>
      <c r="J27" s="29"/>
      <c r="K27" s="29"/>
      <c r="L27" s="29"/>
      <c r="M27" s="29"/>
    </row>
    <row r="28" spans="2:13" x14ac:dyDescent="0.25">
      <c r="B28" s="29"/>
      <c r="C28" s="29"/>
      <c r="D28" s="29"/>
      <c r="E28" s="29"/>
      <c r="F28" s="29"/>
      <c r="G28" s="29"/>
      <c r="H28" s="29"/>
      <c r="I28" s="29"/>
      <c r="J28" s="29"/>
      <c r="K28" s="29"/>
      <c r="L28" s="29"/>
      <c r="M28" s="29"/>
    </row>
    <row r="29" spans="2:13" x14ac:dyDescent="0.25">
      <c r="B29" s="29"/>
      <c r="C29" s="29"/>
      <c r="D29" s="29"/>
      <c r="E29" s="29"/>
      <c r="F29" s="29"/>
      <c r="G29" s="29"/>
      <c r="H29" s="29"/>
      <c r="I29" s="29"/>
      <c r="J29" s="29"/>
      <c r="K29" s="29"/>
      <c r="L29" s="29"/>
      <c r="M29" s="29"/>
    </row>
    <row r="30" spans="2:13" x14ac:dyDescent="0.25">
      <c r="B30" s="29"/>
      <c r="C30" s="29"/>
      <c r="D30" s="29"/>
      <c r="E30" s="29"/>
      <c r="F30" s="29"/>
      <c r="G30" s="29"/>
      <c r="H30" s="29"/>
      <c r="I30" s="29"/>
      <c r="J30" s="29"/>
      <c r="K30" s="29"/>
      <c r="L30" s="29"/>
      <c r="M30" s="29"/>
    </row>
    <row r="31" spans="2:13" x14ac:dyDescent="0.25">
      <c r="B31" s="29"/>
      <c r="C31" s="29"/>
      <c r="D31" s="29"/>
      <c r="E31" s="29"/>
      <c r="F31" s="29"/>
      <c r="G31" s="29"/>
      <c r="H31" s="29"/>
      <c r="I31" s="29"/>
      <c r="J31" s="29"/>
      <c r="K31" s="29"/>
      <c r="L31" s="29"/>
      <c r="M31" s="29"/>
    </row>
    <row r="32" spans="2:13" x14ac:dyDescent="0.25">
      <c r="B32" s="29"/>
      <c r="C32" s="29"/>
      <c r="D32" s="29"/>
      <c r="E32" s="29"/>
      <c r="F32" s="29"/>
      <c r="G32" s="29"/>
      <c r="H32" s="29"/>
      <c r="I32" s="29"/>
      <c r="J32" s="29"/>
      <c r="K32" s="29"/>
      <c r="L32" s="29"/>
      <c r="M32" s="29"/>
    </row>
    <row r="33" spans="2:13" x14ac:dyDescent="0.25">
      <c r="B33" s="29"/>
      <c r="C33" s="29"/>
      <c r="D33" s="29"/>
      <c r="E33" s="29"/>
      <c r="F33" s="29"/>
      <c r="G33" s="29"/>
      <c r="H33" s="29"/>
      <c r="I33" s="29"/>
      <c r="J33" s="29"/>
      <c r="K33" s="29"/>
      <c r="L33" s="29"/>
      <c r="M33" s="29"/>
    </row>
    <row r="34" spans="2:13" x14ac:dyDescent="0.25">
      <c r="B34" s="29"/>
      <c r="C34" s="29"/>
      <c r="D34" s="29"/>
      <c r="E34" s="29"/>
      <c r="F34" s="29"/>
      <c r="G34" s="29"/>
      <c r="H34" s="29"/>
      <c r="I34" s="29"/>
      <c r="J34" s="29"/>
      <c r="K34" s="29"/>
      <c r="L34" s="29"/>
      <c r="M34" s="29"/>
    </row>
    <row r="35" spans="2:13" x14ac:dyDescent="0.25">
      <c r="B35" s="29"/>
      <c r="C35" s="29"/>
      <c r="D35" s="29"/>
      <c r="E35" s="29"/>
      <c r="F35" s="29"/>
      <c r="G35" s="29"/>
      <c r="H35" s="29"/>
      <c r="I35" s="29"/>
      <c r="J35" s="29"/>
      <c r="K35" s="29"/>
      <c r="L35" s="29"/>
      <c r="M35" s="29"/>
    </row>
    <row r="36" spans="2:13" x14ac:dyDescent="0.25">
      <c r="B36" s="29"/>
      <c r="C36" s="29"/>
      <c r="D36" s="29"/>
      <c r="E36" s="29"/>
      <c r="F36" s="29"/>
      <c r="G36" s="29"/>
      <c r="H36" s="29"/>
      <c r="I36" s="29"/>
      <c r="J36" s="29"/>
      <c r="K36" s="29"/>
      <c r="L36" s="29"/>
      <c r="M36" s="29"/>
    </row>
    <row r="37" spans="2:13" x14ac:dyDescent="0.25">
      <c r="B37" s="29"/>
      <c r="C37" s="29"/>
      <c r="D37" s="29"/>
      <c r="E37" s="29"/>
      <c r="F37" s="29"/>
      <c r="G37" s="29"/>
      <c r="H37" s="29"/>
      <c r="I37" s="29"/>
      <c r="J37" s="29"/>
      <c r="K37" s="29"/>
      <c r="L37" s="29"/>
      <c r="M37" s="29"/>
    </row>
    <row r="38" spans="2:13" x14ac:dyDescent="0.25">
      <c r="B38" s="29"/>
      <c r="C38" s="29"/>
      <c r="D38" s="29"/>
      <c r="E38" s="29"/>
      <c r="F38" s="29"/>
      <c r="G38" s="29"/>
      <c r="H38" s="29"/>
      <c r="I38" s="29"/>
      <c r="J38" s="29"/>
      <c r="K38" s="29"/>
      <c r="L38" s="29"/>
      <c r="M38" s="29"/>
    </row>
    <row r="39" spans="2:13" x14ac:dyDescent="0.25">
      <c r="B39" s="29"/>
      <c r="C39" s="29"/>
      <c r="D39" s="29"/>
      <c r="E39" s="29"/>
      <c r="F39" s="29"/>
      <c r="G39" s="29"/>
      <c r="H39" s="29"/>
      <c r="I39" s="29"/>
      <c r="J39" s="29"/>
      <c r="K39" s="29"/>
      <c r="L39" s="29"/>
      <c r="M39" s="29"/>
    </row>
    <row r="40" spans="2:13" x14ac:dyDescent="0.25">
      <c r="B40" s="29"/>
      <c r="C40" s="29"/>
      <c r="D40" s="29"/>
      <c r="E40" s="29"/>
      <c r="F40" s="29"/>
      <c r="G40" s="29"/>
      <c r="H40" s="29"/>
      <c r="I40" s="29"/>
      <c r="J40" s="29"/>
      <c r="K40" s="29"/>
      <c r="L40" s="29"/>
      <c r="M40" s="29"/>
    </row>
    <row r="41" spans="2:13" x14ac:dyDescent="0.25">
      <c r="B41" s="29"/>
      <c r="C41" s="29"/>
      <c r="D41" s="29"/>
      <c r="E41" s="29"/>
      <c r="F41" s="29"/>
      <c r="G41" s="29"/>
      <c r="H41" s="29"/>
      <c r="I41" s="29"/>
      <c r="J41" s="29"/>
      <c r="K41" s="29"/>
      <c r="L41" s="29"/>
      <c r="M41" s="29"/>
    </row>
    <row r="42" spans="2:13" x14ac:dyDescent="0.25">
      <c r="B42" s="29"/>
      <c r="C42" s="29"/>
      <c r="D42" s="29"/>
      <c r="E42" s="29"/>
      <c r="F42" s="29"/>
      <c r="G42" s="29"/>
      <c r="H42" s="29"/>
      <c r="I42" s="29"/>
      <c r="J42" s="29"/>
      <c r="K42" s="29"/>
      <c r="L42" s="29"/>
      <c r="M42" s="29"/>
    </row>
    <row r="43" spans="2:13" x14ac:dyDescent="0.25">
      <c r="B43" s="29"/>
      <c r="C43" s="29"/>
      <c r="D43" s="29"/>
      <c r="E43" s="29"/>
      <c r="F43" s="29"/>
      <c r="G43" s="29"/>
      <c r="H43" s="29"/>
      <c r="I43" s="29"/>
      <c r="J43" s="29"/>
      <c r="K43" s="29"/>
      <c r="L43" s="29"/>
      <c r="M43" s="29"/>
    </row>
    <row r="44" spans="2:13" x14ac:dyDescent="0.25">
      <c r="B44" s="29"/>
      <c r="C44" s="29"/>
      <c r="D44" s="29"/>
      <c r="E44" s="29"/>
      <c r="F44" s="29"/>
      <c r="G44" s="29"/>
      <c r="H44" s="29"/>
      <c r="I44" s="29"/>
      <c r="J44" s="29"/>
      <c r="K44" s="29"/>
      <c r="L44" s="29"/>
      <c r="M44" s="29"/>
    </row>
    <row r="45" spans="2:13" x14ac:dyDescent="0.25">
      <c r="B45" s="29"/>
      <c r="C45" s="29"/>
      <c r="D45" s="29"/>
      <c r="E45" s="29"/>
      <c r="F45" s="29"/>
      <c r="G45" s="29"/>
      <c r="H45" s="29"/>
      <c r="I45" s="29"/>
      <c r="J45" s="29"/>
      <c r="K45" s="29"/>
      <c r="L45" s="29"/>
      <c r="M45" s="29"/>
    </row>
    <row r="46" spans="2:13" x14ac:dyDescent="0.25">
      <c r="B46" s="29"/>
      <c r="C46" s="29"/>
      <c r="D46" s="29"/>
      <c r="E46" s="29"/>
      <c r="F46" s="29"/>
      <c r="G46" s="29"/>
      <c r="H46" s="29"/>
      <c r="I46" s="29"/>
      <c r="J46" s="29"/>
      <c r="K46" s="29"/>
      <c r="L46" s="29"/>
      <c r="M46" s="29"/>
    </row>
    <row r="47" spans="2:13" x14ac:dyDescent="0.25">
      <c r="B47" s="29"/>
      <c r="C47" s="29"/>
      <c r="D47" s="29"/>
      <c r="E47" s="29"/>
      <c r="F47" s="29"/>
      <c r="G47" s="29"/>
      <c r="H47" s="29"/>
      <c r="I47" s="29"/>
      <c r="J47" s="29"/>
      <c r="K47" s="29"/>
      <c r="L47" s="29"/>
      <c r="M47" s="29"/>
    </row>
    <row r="48" spans="2:13" x14ac:dyDescent="0.25">
      <c r="B48" s="29"/>
      <c r="C48" s="29"/>
      <c r="D48" s="29"/>
      <c r="E48" s="29"/>
      <c r="F48" s="29"/>
      <c r="G48" s="29"/>
      <c r="H48" s="29"/>
      <c r="I48" s="29"/>
      <c r="J48" s="29"/>
      <c r="K48" s="29"/>
      <c r="L48" s="29"/>
      <c r="M48" s="29"/>
    </row>
    <row r="49" spans="2:13" x14ac:dyDescent="0.25">
      <c r="B49" s="29"/>
      <c r="C49" s="29"/>
      <c r="D49" s="29"/>
      <c r="E49" s="29"/>
      <c r="F49" s="29"/>
      <c r="G49" s="29"/>
      <c r="H49" s="29"/>
      <c r="I49" s="29"/>
      <c r="J49" s="29"/>
      <c r="K49" s="29"/>
      <c r="L49" s="29"/>
      <c r="M49" s="29"/>
    </row>
    <row r="50" spans="2:13" x14ac:dyDescent="0.25">
      <c r="B50" s="29"/>
      <c r="C50" s="29"/>
      <c r="D50" s="29"/>
      <c r="E50" s="29"/>
      <c r="F50" s="29"/>
      <c r="G50" s="29"/>
      <c r="H50" s="29"/>
      <c r="I50" s="29"/>
      <c r="J50" s="29"/>
      <c r="K50" s="29"/>
      <c r="L50" s="29"/>
      <c r="M50" s="29"/>
    </row>
    <row r="51" spans="2:13" x14ac:dyDescent="0.25">
      <c r="B51" s="29"/>
      <c r="C51" s="29"/>
      <c r="D51" s="29"/>
      <c r="E51" s="29"/>
      <c r="F51" s="29"/>
      <c r="G51" s="29"/>
      <c r="H51" s="29"/>
      <c r="I51" s="29"/>
      <c r="J51" s="29"/>
      <c r="K51" s="29"/>
      <c r="L51" s="29"/>
      <c r="M51" s="29"/>
    </row>
    <row r="52" spans="2:13" x14ac:dyDescent="0.25">
      <c r="B52" s="29"/>
      <c r="C52" s="29"/>
      <c r="D52" s="29"/>
      <c r="E52" s="29"/>
      <c r="F52" s="29"/>
      <c r="G52" s="29"/>
      <c r="H52" s="29"/>
      <c r="I52" s="29"/>
      <c r="J52" s="29"/>
      <c r="K52" s="29"/>
      <c r="L52" s="29"/>
      <c r="M52" s="29"/>
    </row>
    <row r="53" spans="2:13" x14ac:dyDescent="0.25">
      <c r="B53" s="29"/>
      <c r="C53" s="29"/>
      <c r="D53" s="29"/>
      <c r="E53" s="29"/>
      <c r="F53" s="29"/>
      <c r="G53" s="29"/>
      <c r="H53" s="29"/>
      <c r="I53" s="29"/>
      <c r="J53" s="29"/>
      <c r="K53" s="29"/>
      <c r="L53" s="29"/>
      <c r="M53" s="29"/>
    </row>
    <row r="54" spans="2:13" x14ac:dyDescent="0.25">
      <c r="B54" s="29"/>
      <c r="C54" s="29"/>
      <c r="D54" s="29"/>
      <c r="E54" s="29"/>
      <c r="F54" s="29"/>
      <c r="G54" s="29"/>
      <c r="H54" s="29"/>
      <c r="I54" s="29"/>
      <c r="J54" s="29"/>
      <c r="K54" s="29"/>
      <c r="L54" s="29"/>
      <c r="M54" s="29"/>
    </row>
    <row r="55" spans="2:13" x14ac:dyDescent="0.25">
      <c r="B55" s="29"/>
      <c r="C55" s="29"/>
      <c r="D55" s="29"/>
      <c r="E55" s="29"/>
      <c r="F55" s="29"/>
      <c r="G55" s="29"/>
      <c r="H55" s="29"/>
      <c r="I55" s="29"/>
      <c r="J55" s="29"/>
      <c r="K55" s="29"/>
      <c r="L55" s="29"/>
      <c r="M55" s="29"/>
    </row>
    <row r="56" spans="2:13" x14ac:dyDescent="0.25">
      <c r="B56" s="29"/>
      <c r="C56" s="29"/>
      <c r="D56" s="29"/>
      <c r="E56" s="29"/>
      <c r="F56" s="29"/>
      <c r="G56" s="29"/>
      <c r="H56" s="29"/>
      <c r="I56" s="29"/>
      <c r="J56" s="29"/>
      <c r="K56" s="29"/>
      <c r="L56" s="29"/>
      <c r="M56" s="29"/>
    </row>
    <row r="57" spans="2:13" x14ac:dyDescent="0.25">
      <c r="B57" s="29"/>
      <c r="C57" s="29"/>
      <c r="D57" s="29"/>
      <c r="E57" s="29"/>
      <c r="F57" s="29"/>
      <c r="G57" s="29"/>
      <c r="H57" s="29"/>
      <c r="I57" s="29"/>
      <c r="J57" s="29"/>
      <c r="K57" s="29"/>
      <c r="L57" s="29"/>
      <c r="M57" s="29"/>
    </row>
    <row r="58" spans="2:13" x14ac:dyDescent="0.25">
      <c r="B58" s="29"/>
      <c r="C58" s="29"/>
      <c r="D58" s="29"/>
      <c r="E58" s="29"/>
      <c r="F58" s="29"/>
      <c r="G58" s="29"/>
      <c r="H58" s="29"/>
      <c r="I58" s="29"/>
      <c r="J58" s="29"/>
      <c r="K58" s="29"/>
      <c r="L58" s="29"/>
      <c r="M58" s="29"/>
    </row>
    <row r="59" spans="2:13" x14ac:dyDescent="0.25">
      <c r="B59" s="29"/>
      <c r="C59" s="29"/>
      <c r="D59" s="29"/>
      <c r="E59" s="29"/>
      <c r="F59" s="29"/>
      <c r="G59" s="29"/>
      <c r="H59" s="29"/>
      <c r="I59" s="29"/>
      <c r="J59" s="29"/>
      <c r="K59" s="29"/>
      <c r="L59" s="29"/>
      <c r="M59" s="29"/>
    </row>
    <row r="60" spans="2:13" x14ac:dyDescent="0.25">
      <c r="B60" s="29"/>
      <c r="C60" s="29"/>
      <c r="D60" s="29"/>
      <c r="E60" s="29"/>
      <c r="F60" s="29"/>
      <c r="G60" s="29"/>
      <c r="H60" s="29"/>
      <c r="I60" s="29"/>
      <c r="J60" s="29"/>
      <c r="K60" s="29"/>
      <c r="L60" s="29"/>
      <c r="M60" s="29"/>
    </row>
    <row r="61" spans="2:13" x14ac:dyDescent="0.25">
      <c r="B61" s="29"/>
      <c r="C61" s="29"/>
      <c r="D61" s="29"/>
      <c r="E61" s="29"/>
      <c r="F61" s="29"/>
      <c r="G61" s="29"/>
      <c r="H61" s="29"/>
      <c r="I61" s="29"/>
      <c r="J61" s="29"/>
      <c r="K61" s="29"/>
      <c r="L61" s="29"/>
      <c r="M61" s="29"/>
    </row>
    <row r="62" spans="2:13" x14ac:dyDescent="0.25">
      <c r="B62" s="29"/>
      <c r="C62" s="29"/>
      <c r="D62" s="29"/>
      <c r="E62" s="29"/>
      <c r="F62" s="29"/>
      <c r="G62" s="29"/>
      <c r="H62" s="29"/>
      <c r="I62" s="29"/>
      <c r="J62" s="29"/>
      <c r="K62" s="29"/>
      <c r="L62" s="29"/>
      <c r="M62" s="29"/>
    </row>
    <row r="63" spans="2:13" x14ac:dyDescent="0.25">
      <c r="B63" s="29"/>
      <c r="C63" s="29"/>
      <c r="D63" s="29"/>
      <c r="E63" s="29"/>
      <c r="F63" s="29"/>
      <c r="G63" s="29"/>
      <c r="H63" s="29"/>
      <c r="I63" s="29"/>
      <c r="J63" s="29"/>
      <c r="K63" s="29"/>
      <c r="L63" s="29"/>
      <c r="M63" s="29"/>
    </row>
    <row r="64" spans="2:13" x14ac:dyDescent="0.25">
      <c r="B64" s="29"/>
      <c r="C64" s="29"/>
      <c r="D64" s="29"/>
      <c r="E64" s="29"/>
      <c r="F64" s="29"/>
      <c r="G64" s="29"/>
      <c r="H64" s="29"/>
      <c r="I64" s="29"/>
      <c r="J64" s="29"/>
      <c r="K64" s="29"/>
      <c r="L64" s="29"/>
      <c r="M64" s="29"/>
    </row>
    <row r="65" spans="2:13" x14ac:dyDescent="0.25">
      <c r="B65" s="29"/>
      <c r="C65" s="29"/>
      <c r="D65" s="29"/>
      <c r="E65" s="29"/>
      <c r="F65" s="29"/>
      <c r="G65" s="29"/>
      <c r="H65" s="29"/>
      <c r="I65" s="29"/>
      <c r="J65" s="29"/>
      <c r="K65" s="29"/>
      <c r="L65" s="29"/>
      <c r="M65" s="29"/>
    </row>
    <row r="66" spans="2:13" x14ac:dyDescent="0.25">
      <c r="B66" s="29"/>
      <c r="C66" s="29"/>
      <c r="D66" s="29"/>
      <c r="E66" s="29"/>
      <c r="F66" s="29"/>
      <c r="G66" s="29"/>
      <c r="H66" s="29"/>
      <c r="I66" s="29"/>
      <c r="J66" s="29"/>
      <c r="K66" s="29"/>
      <c r="L66" s="29"/>
      <c r="M66" s="29"/>
    </row>
    <row r="67" spans="2:13" x14ac:dyDescent="0.25">
      <c r="B67" s="29"/>
      <c r="C67" s="29"/>
      <c r="D67" s="29"/>
      <c r="E67" s="29"/>
      <c r="F67" s="29"/>
      <c r="G67" s="29"/>
      <c r="H67" s="29"/>
      <c r="I67" s="29"/>
      <c r="J67" s="29"/>
      <c r="K67" s="29"/>
      <c r="L67" s="29"/>
      <c r="M67" s="29"/>
    </row>
    <row r="68" spans="2:13" x14ac:dyDescent="0.25">
      <c r="B68" s="29"/>
      <c r="C68" s="29"/>
      <c r="D68" s="29"/>
      <c r="E68" s="29"/>
      <c r="F68" s="29"/>
      <c r="G68" s="29"/>
      <c r="H68" s="29"/>
      <c r="I68" s="29"/>
      <c r="J68" s="29"/>
      <c r="K68" s="29"/>
      <c r="L68" s="29"/>
      <c r="M68" s="29"/>
    </row>
    <row r="69" spans="2:13" x14ac:dyDescent="0.25">
      <c r="B69" s="29"/>
      <c r="C69" s="29"/>
      <c r="D69" s="29"/>
      <c r="E69" s="29"/>
      <c r="F69" s="29"/>
      <c r="G69" s="29"/>
      <c r="H69" s="29"/>
      <c r="I69" s="29"/>
      <c r="J69" s="29"/>
      <c r="K69" s="29"/>
      <c r="L69" s="29"/>
      <c r="M69" s="29"/>
    </row>
    <row r="70" spans="2:13" x14ac:dyDescent="0.25">
      <c r="B70" s="29"/>
      <c r="C70" s="29"/>
      <c r="D70" s="29"/>
      <c r="E70" s="29"/>
      <c r="F70" s="29"/>
      <c r="G70" s="29"/>
      <c r="H70" s="29"/>
      <c r="I70" s="29"/>
      <c r="J70" s="29"/>
      <c r="K70" s="29"/>
      <c r="L70" s="29"/>
      <c r="M70" s="29"/>
    </row>
    <row r="71" spans="2:13" x14ac:dyDescent="0.25">
      <c r="B71" s="29"/>
      <c r="C71" s="29"/>
      <c r="D71" s="29"/>
      <c r="E71" s="29"/>
      <c r="F71" s="29"/>
      <c r="G71" s="29"/>
      <c r="H71" s="29"/>
      <c r="I71" s="29"/>
      <c r="J71" s="29"/>
      <c r="K71" s="29"/>
      <c r="L71" s="29"/>
      <c r="M71" s="29"/>
    </row>
    <row r="72" spans="2:13" x14ac:dyDescent="0.25">
      <c r="B72" s="29"/>
      <c r="C72" s="29"/>
      <c r="D72" s="29"/>
      <c r="E72" s="29"/>
      <c r="F72" s="29"/>
      <c r="G72" s="29"/>
      <c r="H72" s="29"/>
      <c r="I72" s="29"/>
      <c r="J72" s="29"/>
      <c r="K72" s="29"/>
      <c r="L72" s="29"/>
      <c r="M72" s="29"/>
    </row>
    <row r="73" spans="2:13" x14ac:dyDescent="0.25">
      <c r="B73" s="29"/>
      <c r="C73" s="29"/>
      <c r="D73" s="29"/>
      <c r="E73" s="29"/>
      <c r="F73" s="29"/>
      <c r="G73" s="29"/>
      <c r="H73" s="29"/>
      <c r="I73" s="29"/>
      <c r="J73" s="29"/>
      <c r="K73" s="29"/>
      <c r="L73" s="29"/>
      <c r="M73" s="29"/>
    </row>
    <row r="74" spans="2:13" x14ac:dyDescent="0.25">
      <c r="B74" s="29"/>
      <c r="C74" s="29"/>
      <c r="D74" s="29"/>
      <c r="E74" s="29"/>
      <c r="F74" s="29"/>
      <c r="G74" s="29"/>
      <c r="H74" s="29"/>
      <c r="I74" s="29"/>
      <c r="J74" s="29"/>
      <c r="K74" s="29"/>
      <c r="L74" s="29"/>
      <c r="M74" s="29"/>
    </row>
    <row r="75" spans="2:13" x14ac:dyDescent="0.25">
      <c r="B75" s="29"/>
      <c r="C75" s="29"/>
      <c r="D75" s="29"/>
      <c r="E75" s="29"/>
      <c r="F75" s="29"/>
      <c r="G75" s="29"/>
      <c r="H75" s="29"/>
      <c r="I75" s="29"/>
      <c r="J75" s="29"/>
      <c r="K75" s="29"/>
      <c r="L75" s="29"/>
      <c r="M75" s="29"/>
    </row>
    <row r="76" spans="2:13" x14ac:dyDescent="0.25">
      <c r="B76" s="29"/>
      <c r="C76" s="29"/>
      <c r="D76" s="29"/>
      <c r="E76" s="29"/>
      <c r="F76" s="29"/>
      <c r="G76" s="29"/>
      <c r="H76" s="29"/>
      <c r="I76" s="29"/>
      <c r="J76" s="29"/>
      <c r="K76" s="29"/>
      <c r="L76" s="29"/>
      <c r="M76" s="29"/>
    </row>
    <row r="77" spans="2:13" x14ac:dyDescent="0.25">
      <c r="B77" s="29"/>
      <c r="C77" s="29"/>
      <c r="D77" s="29"/>
      <c r="E77" s="29"/>
      <c r="F77" s="29"/>
      <c r="G77" s="29"/>
      <c r="H77" s="29"/>
      <c r="I77" s="29"/>
      <c r="J77" s="29"/>
      <c r="K77" s="29"/>
      <c r="L77" s="29"/>
      <c r="M77" s="29"/>
    </row>
    <row r="78" spans="2:13" x14ac:dyDescent="0.25">
      <c r="B78" s="29"/>
      <c r="C78" s="29"/>
      <c r="D78" s="29"/>
      <c r="E78" s="29"/>
      <c r="F78" s="29"/>
      <c r="G78" s="29"/>
      <c r="H78" s="29"/>
      <c r="I78" s="29"/>
      <c r="J78" s="29"/>
      <c r="K78" s="29"/>
      <c r="L78" s="29"/>
      <c r="M78" s="29"/>
    </row>
    <row r="79" spans="2:13" x14ac:dyDescent="0.25">
      <c r="B79" s="29"/>
      <c r="C79" s="29"/>
      <c r="D79" s="29"/>
      <c r="E79" s="29"/>
      <c r="F79" s="29"/>
      <c r="G79" s="29"/>
      <c r="H79" s="29"/>
      <c r="I79" s="29"/>
      <c r="J79" s="29"/>
      <c r="K79" s="29"/>
      <c r="L79" s="29"/>
      <c r="M79" s="29"/>
    </row>
    <row r="80" spans="2:13" x14ac:dyDescent="0.25">
      <c r="B80" s="29"/>
      <c r="C80" s="29"/>
      <c r="D80" s="29"/>
      <c r="E80" s="29"/>
      <c r="F80" s="29"/>
      <c r="G80" s="29"/>
      <c r="H80" s="29"/>
      <c r="I80" s="29"/>
      <c r="J80" s="29"/>
      <c r="K80" s="29"/>
      <c r="L80" s="29"/>
      <c r="M80" s="29"/>
    </row>
    <row r="81" spans="2:13" x14ac:dyDescent="0.25">
      <c r="B81" s="29"/>
      <c r="C81" s="29"/>
      <c r="D81" s="29"/>
      <c r="E81" s="29"/>
      <c r="F81" s="29"/>
      <c r="G81" s="29"/>
      <c r="H81" s="29"/>
      <c r="I81" s="29"/>
      <c r="J81" s="29"/>
      <c r="K81" s="29"/>
      <c r="L81" s="29"/>
      <c r="M81" s="29"/>
    </row>
    <row r="82" spans="2:13" x14ac:dyDescent="0.25">
      <c r="B82" s="29"/>
      <c r="C82" s="29"/>
      <c r="D82" s="29"/>
      <c r="E82" s="29"/>
      <c r="F82" s="29"/>
      <c r="G82" s="29"/>
      <c r="H82" s="29"/>
      <c r="I82" s="29"/>
      <c r="J82" s="29"/>
      <c r="K82" s="29"/>
      <c r="L82" s="29"/>
      <c r="M82" s="29"/>
    </row>
    <row r="83" spans="2:13" x14ac:dyDescent="0.25">
      <c r="B83" s="29"/>
      <c r="C83" s="29"/>
      <c r="D83" s="29"/>
      <c r="E83" s="29"/>
      <c r="F83" s="29"/>
      <c r="G83" s="29"/>
      <c r="H83" s="29"/>
      <c r="I83" s="29"/>
      <c r="J83" s="29"/>
      <c r="K83" s="29"/>
      <c r="L83" s="29"/>
      <c r="M83" s="29"/>
    </row>
    <row r="84" spans="2:13" x14ac:dyDescent="0.25">
      <c r="B84" s="29"/>
      <c r="C84" s="29"/>
      <c r="D84" s="29"/>
      <c r="E84" s="29"/>
      <c r="F84" s="29"/>
      <c r="G84" s="29"/>
      <c r="H84" s="29"/>
      <c r="I84" s="29"/>
      <c r="J84" s="29"/>
      <c r="K84" s="29"/>
      <c r="L84" s="29"/>
      <c r="M84" s="29"/>
    </row>
    <row r="85" spans="2:13" x14ac:dyDescent="0.25">
      <c r="B85" s="29"/>
      <c r="C85" s="29"/>
      <c r="D85" s="29"/>
      <c r="E85" s="29"/>
      <c r="F85" s="29"/>
      <c r="G85" s="29"/>
      <c r="H85" s="29"/>
      <c r="I85" s="29"/>
      <c r="J85" s="29"/>
      <c r="K85" s="29"/>
      <c r="L85" s="29"/>
      <c r="M85" s="29"/>
    </row>
    <row r="86" spans="2:13" x14ac:dyDescent="0.25">
      <c r="B86" s="29"/>
      <c r="C86" s="29"/>
      <c r="D86" s="29"/>
      <c r="E86" s="29"/>
      <c r="F86" s="29"/>
      <c r="G86" s="29"/>
      <c r="H86" s="29"/>
      <c r="I86" s="29"/>
      <c r="J86" s="29"/>
      <c r="K86" s="29"/>
      <c r="L86" s="29"/>
      <c r="M86" s="29"/>
    </row>
    <row r="87" spans="2:13" x14ac:dyDescent="0.25">
      <c r="B87" s="29"/>
      <c r="C87" s="29"/>
      <c r="D87" s="29"/>
      <c r="E87" s="29"/>
      <c r="F87" s="29"/>
      <c r="G87" s="29"/>
      <c r="H87" s="29"/>
      <c r="I87" s="29"/>
      <c r="J87" s="29"/>
      <c r="K87" s="29"/>
      <c r="L87" s="29"/>
      <c r="M87" s="29"/>
    </row>
    <row r="88" spans="2:13" x14ac:dyDescent="0.25">
      <c r="B88" s="29"/>
      <c r="C88" s="29"/>
      <c r="D88" s="29"/>
      <c r="E88" s="29"/>
      <c r="F88" s="29"/>
      <c r="G88" s="29"/>
      <c r="H88" s="29"/>
      <c r="I88" s="29"/>
      <c r="J88" s="29"/>
      <c r="K88" s="29"/>
      <c r="L88" s="29"/>
      <c r="M88" s="29"/>
    </row>
    <row r="89" spans="2:13" x14ac:dyDescent="0.25">
      <c r="B89" s="29"/>
      <c r="C89" s="29"/>
      <c r="D89" s="29"/>
      <c r="E89" s="29"/>
      <c r="F89" s="29"/>
      <c r="G89" s="29"/>
      <c r="H89" s="29"/>
      <c r="I89" s="29"/>
      <c r="J89" s="29"/>
      <c r="K89" s="29"/>
      <c r="L89" s="29"/>
      <c r="M89" s="29"/>
    </row>
    <row r="90" spans="2:13" x14ac:dyDescent="0.25">
      <c r="B90" s="29"/>
      <c r="C90" s="29"/>
      <c r="D90" s="29"/>
      <c r="E90" s="29"/>
      <c r="F90" s="29"/>
      <c r="G90" s="29"/>
      <c r="H90" s="29"/>
      <c r="I90" s="29"/>
      <c r="J90" s="29"/>
      <c r="K90" s="29"/>
      <c r="L90" s="29"/>
      <c r="M90" s="29"/>
    </row>
    <row r="91" spans="2:13" x14ac:dyDescent="0.25">
      <c r="B91" s="29"/>
      <c r="C91" s="29"/>
      <c r="D91" s="29"/>
      <c r="E91" s="29"/>
      <c r="F91" s="29"/>
      <c r="G91" s="29"/>
      <c r="H91" s="29"/>
      <c r="I91" s="29"/>
      <c r="J91" s="29"/>
      <c r="K91" s="29"/>
      <c r="L91" s="29"/>
      <c r="M91" s="29"/>
    </row>
    <row r="92" spans="2:13" x14ac:dyDescent="0.25">
      <c r="B92" s="29"/>
      <c r="C92" s="29"/>
      <c r="D92" s="29"/>
      <c r="E92" s="29"/>
      <c r="F92" s="29"/>
      <c r="G92" s="29"/>
      <c r="H92" s="29"/>
      <c r="I92" s="29"/>
      <c r="J92" s="29"/>
      <c r="K92" s="29"/>
      <c r="L92" s="29"/>
      <c r="M92" s="29"/>
    </row>
    <row r="93" spans="2:13" x14ac:dyDescent="0.25">
      <c r="B93" s="29"/>
      <c r="C93" s="29"/>
      <c r="D93" s="29"/>
      <c r="E93" s="29"/>
      <c r="F93" s="29"/>
      <c r="G93" s="29"/>
      <c r="H93" s="29"/>
      <c r="I93" s="29"/>
      <c r="J93" s="29"/>
      <c r="K93" s="29"/>
      <c r="L93" s="29"/>
      <c r="M93" s="29"/>
    </row>
    <row r="94" spans="2:13" x14ac:dyDescent="0.25">
      <c r="B94" s="29"/>
      <c r="C94" s="29"/>
      <c r="D94" s="29"/>
      <c r="E94" s="29"/>
      <c r="F94" s="29"/>
      <c r="G94" s="29"/>
      <c r="H94" s="29"/>
      <c r="I94" s="29"/>
      <c r="J94" s="29"/>
      <c r="K94" s="29"/>
      <c r="L94" s="29"/>
      <c r="M94" s="29"/>
    </row>
    <row r="95" spans="2:13" x14ac:dyDescent="0.25">
      <c r="B95" s="29"/>
      <c r="C95" s="29"/>
      <c r="D95" s="29"/>
      <c r="E95" s="29"/>
      <c r="F95" s="29"/>
      <c r="G95" s="29"/>
      <c r="H95" s="29"/>
      <c r="I95" s="29"/>
      <c r="J95" s="29"/>
      <c r="K95" s="29"/>
      <c r="L95" s="29"/>
      <c r="M95" s="29"/>
    </row>
    <row r="96" spans="2:13" x14ac:dyDescent="0.25">
      <c r="B96" s="29"/>
      <c r="C96" s="29"/>
      <c r="D96" s="29"/>
      <c r="E96" s="29"/>
      <c r="F96" s="29"/>
      <c r="G96" s="29"/>
      <c r="H96" s="29"/>
      <c r="I96" s="29"/>
      <c r="J96" s="29"/>
      <c r="K96" s="29"/>
      <c r="L96" s="29"/>
      <c r="M96" s="29"/>
    </row>
    <row r="97" spans="2:13" x14ac:dyDescent="0.25">
      <c r="B97" s="29"/>
      <c r="C97" s="29"/>
      <c r="D97" s="29"/>
      <c r="E97" s="29"/>
      <c r="F97" s="29"/>
      <c r="G97" s="29"/>
      <c r="H97" s="29"/>
      <c r="I97" s="29"/>
      <c r="J97" s="29"/>
      <c r="K97" s="29"/>
      <c r="L97" s="29"/>
      <c r="M97" s="29"/>
    </row>
  </sheetData>
  <sheetProtection algorithmName="SHA-512" hashValue="bF1jE4BrgfNvm9OrWQaAE58U5VOVbRDSMLSjetTQMY1LFDUuRFajx7Oq/AaKcdiiUH3eALewWj56v+fYfsqv4A==" saltValue="oHPW7QFv102ZzHbFrS+ifQ==" spinCount="100000" sheet="1" objects="1" scenarios="1" selectLockedCells="1" selectUnlockedCells="1"/>
  <mergeCells count="8">
    <mergeCell ref="B11:M11"/>
    <mergeCell ref="B3:AE4"/>
    <mergeCell ref="B6:M6"/>
    <mergeCell ref="B7:M7"/>
    <mergeCell ref="B12:M12"/>
    <mergeCell ref="B8:M8"/>
    <mergeCell ref="B9:M9"/>
    <mergeCell ref="B10:M1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17D7C-14D9-4E52-BC87-87431B26FC91}">
  <dimension ref="A3:S134"/>
  <sheetViews>
    <sheetView showRowColHeaders="0" zoomScaleNormal="100" workbookViewId="0"/>
  </sheetViews>
  <sheetFormatPr defaultColWidth="9.140625" defaultRowHeight="15" x14ac:dyDescent="0.25"/>
  <cols>
    <col min="1" max="2" width="9.140625" style="127"/>
    <col min="3" max="3" width="10.85546875" style="127" customWidth="1"/>
    <col min="4" max="12" width="9.140625" style="127"/>
    <col min="13" max="13" width="11.140625" style="127" customWidth="1"/>
    <col min="14" max="14" width="2" style="127" customWidth="1"/>
    <col min="15" max="16384" width="9.140625" style="127"/>
  </cols>
  <sheetData>
    <row r="3" spans="1:14" ht="12.75" customHeight="1" x14ac:dyDescent="0.25">
      <c r="B3" s="228" t="s">
        <v>15</v>
      </c>
      <c r="C3" s="229"/>
      <c r="D3" s="229"/>
      <c r="E3" s="229"/>
      <c r="F3" s="229"/>
      <c r="G3" s="229"/>
      <c r="H3" s="229"/>
      <c r="I3" s="229"/>
      <c r="J3" s="229"/>
      <c r="K3" s="229"/>
      <c r="L3" s="229"/>
      <c r="M3" s="229"/>
      <c r="N3" s="230"/>
    </row>
    <row r="4" spans="1:14" ht="9.75" customHeight="1" x14ac:dyDescent="0.25">
      <c r="B4" s="228"/>
      <c r="C4" s="229"/>
      <c r="D4" s="229"/>
      <c r="E4" s="229"/>
      <c r="F4" s="229"/>
      <c r="G4" s="229"/>
      <c r="H4" s="229"/>
      <c r="I4" s="229"/>
      <c r="J4" s="229"/>
      <c r="K4" s="229"/>
      <c r="L4" s="229"/>
      <c r="M4" s="229"/>
      <c r="N4" s="230"/>
    </row>
    <row r="5" spans="1:14" ht="15.75" customHeight="1" thickBot="1" x14ac:dyDescent="0.3">
      <c r="B5" s="228"/>
      <c r="C5" s="229"/>
      <c r="D5" s="229"/>
      <c r="E5" s="229"/>
      <c r="F5" s="229"/>
      <c r="G5" s="229"/>
      <c r="H5" s="229"/>
      <c r="I5" s="229"/>
      <c r="J5" s="229"/>
      <c r="K5" s="229"/>
      <c r="L5" s="229"/>
      <c r="M5" s="229"/>
      <c r="N5" s="230"/>
    </row>
    <row r="6" spans="1:14" ht="15.75" thickTop="1" x14ac:dyDescent="0.25">
      <c r="B6" s="194"/>
      <c r="C6" s="195"/>
      <c r="D6" s="195"/>
      <c r="E6" s="195"/>
      <c r="F6" s="195"/>
      <c r="G6" s="195"/>
      <c r="H6" s="195"/>
      <c r="I6" s="195"/>
      <c r="J6" s="195"/>
      <c r="K6" s="195"/>
      <c r="L6" s="195"/>
      <c r="M6" s="195"/>
      <c r="N6" s="196"/>
    </row>
    <row r="7" spans="1:14" x14ac:dyDescent="0.25">
      <c r="A7" s="128"/>
      <c r="B7" s="256" t="s">
        <v>16</v>
      </c>
      <c r="C7" s="257"/>
      <c r="D7" s="257"/>
      <c r="E7" s="257"/>
      <c r="F7" s="257"/>
      <c r="G7" s="257"/>
      <c r="H7" s="257"/>
      <c r="I7" s="257"/>
      <c r="J7" s="257"/>
      <c r="K7" s="257"/>
      <c r="L7" s="257"/>
      <c r="M7" s="257"/>
      <c r="N7" s="112"/>
    </row>
    <row r="8" spans="1:14" x14ac:dyDescent="0.25">
      <c r="B8" s="197"/>
      <c r="C8" s="198"/>
      <c r="D8" s="198"/>
      <c r="E8" s="198"/>
      <c r="F8" s="198"/>
      <c r="G8" s="198"/>
      <c r="H8" s="198"/>
      <c r="I8" s="198"/>
      <c r="J8" s="198"/>
      <c r="K8" s="198"/>
      <c r="L8" s="198"/>
      <c r="M8" s="198"/>
      <c r="N8" s="112"/>
    </row>
    <row r="9" spans="1:14" x14ac:dyDescent="0.25">
      <c r="B9" s="197"/>
      <c r="C9" s="198"/>
      <c r="D9" s="198"/>
      <c r="E9" s="198"/>
      <c r="F9" s="198"/>
      <c r="G9" s="198"/>
      <c r="H9" s="198"/>
      <c r="I9" s="198"/>
      <c r="J9" s="198"/>
      <c r="K9" s="198"/>
      <c r="L9" s="198"/>
      <c r="M9" s="198"/>
      <c r="N9" s="112"/>
    </row>
    <row r="10" spans="1:14" x14ac:dyDescent="0.25">
      <c r="B10" s="197"/>
      <c r="C10" s="198"/>
      <c r="D10" s="198"/>
      <c r="E10" s="198"/>
      <c r="F10" s="198"/>
      <c r="G10" s="198"/>
      <c r="H10" s="198"/>
      <c r="I10" s="198"/>
      <c r="J10" s="198"/>
      <c r="K10" s="198"/>
      <c r="L10" s="198"/>
      <c r="M10" s="198"/>
      <c r="N10" s="112"/>
    </row>
    <row r="11" spans="1:14" x14ac:dyDescent="0.25">
      <c r="B11" s="197"/>
      <c r="C11" s="198"/>
      <c r="D11" s="198"/>
      <c r="E11" s="198"/>
      <c r="F11" s="198"/>
      <c r="G11" s="198"/>
      <c r="H11" s="198"/>
      <c r="I11" s="198"/>
      <c r="J11" s="198"/>
      <c r="K11" s="198"/>
      <c r="L11" s="198"/>
      <c r="M11" s="198"/>
      <c r="N11" s="112"/>
    </row>
    <row r="12" spans="1:14" x14ac:dyDescent="0.25">
      <c r="B12" s="197"/>
      <c r="C12" s="198"/>
      <c r="D12" s="198"/>
      <c r="E12" s="198"/>
      <c r="F12" s="198"/>
      <c r="G12" s="198"/>
      <c r="H12" s="198"/>
      <c r="I12" s="198"/>
      <c r="J12" s="198"/>
      <c r="K12" s="198"/>
      <c r="L12" s="198"/>
      <c r="M12" s="198"/>
      <c r="N12" s="112"/>
    </row>
    <row r="13" spans="1:14" x14ac:dyDescent="0.25">
      <c r="B13" s="197"/>
      <c r="C13" s="198"/>
      <c r="D13" s="198"/>
      <c r="E13" s="198"/>
      <c r="F13" s="198"/>
      <c r="G13" s="198"/>
      <c r="H13" s="198"/>
      <c r="I13" s="198"/>
      <c r="J13" s="198"/>
      <c r="K13" s="198"/>
      <c r="L13" s="198"/>
      <c r="M13" s="198"/>
      <c r="N13" s="112"/>
    </row>
    <row r="14" spans="1:14" x14ac:dyDescent="0.25">
      <c r="B14" s="197"/>
      <c r="C14" s="198"/>
      <c r="D14" s="198"/>
      <c r="E14" s="198"/>
      <c r="F14" s="198"/>
      <c r="G14" s="198"/>
      <c r="H14" s="198"/>
      <c r="I14" s="198"/>
      <c r="J14" s="198"/>
      <c r="K14" s="198"/>
      <c r="L14" s="198"/>
      <c r="M14" s="198"/>
      <c r="N14" s="112"/>
    </row>
    <row r="15" spans="1:14" x14ac:dyDescent="0.25">
      <c r="B15" s="197"/>
      <c r="C15" s="198"/>
      <c r="D15" s="198"/>
      <c r="E15" s="198"/>
      <c r="F15" s="198"/>
      <c r="G15" s="198"/>
      <c r="H15" s="198"/>
      <c r="I15" s="198"/>
      <c r="J15" s="198"/>
      <c r="K15" s="198"/>
      <c r="L15" s="198"/>
      <c r="M15" s="198"/>
      <c r="N15" s="112"/>
    </row>
    <row r="16" spans="1:14" x14ac:dyDescent="0.25">
      <c r="B16" s="197"/>
      <c r="C16" s="198"/>
      <c r="D16" s="198"/>
      <c r="E16" s="198"/>
      <c r="F16" s="198"/>
      <c r="G16" s="198"/>
      <c r="H16" s="198"/>
      <c r="I16" s="198"/>
      <c r="J16" s="198"/>
      <c r="K16" s="198"/>
      <c r="L16" s="198"/>
      <c r="M16" s="198"/>
      <c r="N16" s="112"/>
    </row>
    <row r="17" spans="1:19" x14ac:dyDescent="0.25">
      <c r="B17" s="197"/>
      <c r="C17" s="198"/>
      <c r="D17" s="198"/>
      <c r="E17" s="198"/>
      <c r="F17" s="198"/>
      <c r="G17" s="198"/>
      <c r="H17" s="198"/>
      <c r="I17" s="198"/>
      <c r="J17" s="198"/>
      <c r="K17" s="198"/>
      <c r="L17" s="198"/>
      <c r="M17" s="198"/>
      <c r="N17" s="112"/>
    </row>
    <row r="18" spans="1:19" x14ac:dyDescent="0.25">
      <c r="B18" s="197"/>
      <c r="C18" s="198"/>
      <c r="D18" s="198"/>
      <c r="E18" s="198"/>
      <c r="F18" s="198"/>
      <c r="G18" s="198"/>
      <c r="H18" s="198"/>
      <c r="I18" s="198"/>
      <c r="J18" s="198"/>
      <c r="K18" s="198"/>
      <c r="L18" s="198"/>
      <c r="M18" s="198"/>
      <c r="N18" s="112"/>
    </row>
    <row r="19" spans="1:19" x14ac:dyDescent="0.25">
      <c r="B19" s="197"/>
      <c r="C19" s="198"/>
      <c r="D19" s="198"/>
      <c r="E19" s="198"/>
      <c r="F19" s="198"/>
      <c r="G19" s="198"/>
      <c r="H19" s="198"/>
      <c r="I19" s="198"/>
      <c r="J19" s="198"/>
      <c r="K19" s="198"/>
      <c r="L19" s="198"/>
      <c r="M19" s="198"/>
      <c r="N19" s="112"/>
    </row>
    <row r="20" spans="1:19" ht="18" x14ac:dyDescent="0.25">
      <c r="A20" s="128"/>
      <c r="B20" s="113" t="s">
        <v>17</v>
      </c>
      <c r="C20" s="198"/>
      <c r="D20" s="198"/>
      <c r="E20" s="198"/>
      <c r="F20" s="198"/>
      <c r="G20" s="198"/>
      <c r="H20" s="198"/>
      <c r="I20" s="198"/>
      <c r="J20" s="198"/>
      <c r="K20" s="198"/>
      <c r="L20" s="198"/>
      <c r="M20" s="198"/>
      <c r="N20" s="112"/>
    </row>
    <row r="21" spans="1:19" x14ac:dyDescent="0.25">
      <c r="B21" s="197"/>
      <c r="C21" s="198"/>
      <c r="D21" s="198"/>
      <c r="E21" s="198"/>
      <c r="F21" s="198"/>
      <c r="G21" s="198"/>
      <c r="H21" s="198"/>
      <c r="I21" s="198"/>
      <c r="J21" s="198"/>
      <c r="K21" s="198"/>
      <c r="L21" s="198"/>
      <c r="M21" s="198"/>
      <c r="N21" s="112"/>
    </row>
    <row r="22" spans="1:19" x14ac:dyDescent="0.25">
      <c r="B22" s="197"/>
      <c r="C22" s="118" t="s">
        <v>18</v>
      </c>
      <c r="D22" s="198"/>
      <c r="E22" s="198"/>
      <c r="F22" s="198"/>
      <c r="G22" s="198"/>
      <c r="H22" s="198"/>
      <c r="I22" s="198"/>
      <c r="J22" s="198"/>
      <c r="K22" s="198"/>
      <c r="L22" s="198"/>
      <c r="M22" s="198"/>
      <c r="N22" s="112"/>
    </row>
    <row r="23" spans="1:19" x14ac:dyDescent="0.25">
      <c r="B23" s="197"/>
      <c r="C23" s="199"/>
      <c r="D23" s="200" t="s">
        <v>19</v>
      </c>
      <c r="E23" s="198"/>
      <c r="F23" s="198"/>
      <c r="G23" s="198"/>
      <c r="H23" s="198"/>
      <c r="I23" s="198"/>
      <c r="J23" s="198"/>
      <c r="K23" s="198"/>
      <c r="L23" s="198"/>
      <c r="M23" s="198"/>
      <c r="N23" s="112"/>
    </row>
    <row r="24" spans="1:19" x14ac:dyDescent="0.25">
      <c r="B24" s="197"/>
      <c r="C24" s="201"/>
      <c r="D24" s="200" t="s">
        <v>20</v>
      </c>
      <c r="E24" s="198"/>
      <c r="F24" s="198"/>
      <c r="G24" s="198"/>
      <c r="H24" s="198"/>
      <c r="I24" s="198"/>
      <c r="J24" s="198"/>
      <c r="K24" s="198"/>
      <c r="L24" s="198"/>
      <c r="M24" s="198"/>
      <c r="N24" s="112"/>
    </row>
    <row r="25" spans="1:19" ht="16.5" x14ac:dyDescent="0.3">
      <c r="B25" s="197"/>
      <c r="C25" s="202"/>
      <c r="D25" s="200" t="s">
        <v>21</v>
      </c>
      <c r="E25" s="198"/>
      <c r="F25" s="198"/>
      <c r="G25" s="198"/>
      <c r="H25" s="198"/>
      <c r="I25" s="198"/>
      <c r="J25" s="198"/>
      <c r="K25" s="198"/>
      <c r="L25" s="198"/>
      <c r="M25" s="198"/>
      <c r="N25" s="112"/>
      <c r="S25" s="203"/>
    </row>
    <row r="26" spans="1:19" ht="16.5" x14ac:dyDescent="0.3">
      <c r="B26" s="197"/>
      <c r="C26" s="198"/>
      <c r="D26" s="198"/>
      <c r="E26" s="198"/>
      <c r="F26" s="198"/>
      <c r="G26" s="198"/>
      <c r="H26" s="198"/>
      <c r="I26" s="198"/>
      <c r="J26" s="198"/>
      <c r="K26" s="198"/>
      <c r="L26" s="198"/>
      <c r="M26" s="198"/>
      <c r="N26" s="112"/>
      <c r="S26" s="204"/>
    </row>
    <row r="27" spans="1:19" ht="16.5" x14ac:dyDescent="0.3">
      <c r="A27" s="128"/>
      <c r="B27" s="256" t="s">
        <v>22</v>
      </c>
      <c r="C27" s="257"/>
      <c r="D27" s="257"/>
      <c r="E27" s="257"/>
      <c r="F27" s="257"/>
      <c r="G27" s="257"/>
      <c r="H27" s="257"/>
      <c r="I27" s="257"/>
      <c r="J27" s="257"/>
      <c r="K27" s="257"/>
      <c r="L27" s="257"/>
      <c r="M27" s="257"/>
      <c r="N27" s="112"/>
      <c r="S27" s="203"/>
    </row>
    <row r="28" spans="1:19" ht="9.75" customHeight="1" x14ac:dyDescent="0.3">
      <c r="B28" s="197"/>
      <c r="C28" s="198"/>
      <c r="D28" s="198"/>
      <c r="E28" s="198"/>
      <c r="F28" s="198"/>
      <c r="G28" s="198"/>
      <c r="H28" s="198"/>
      <c r="I28" s="198"/>
      <c r="J28" s="198"/>
      <c r="K28" s="198"/>
      <c r="L28" s="198"/>
      <c r="M28" s="198"/>
      <c r="N28" s="112"/>
      <c r="S28" s="203"/>
    </row>
    <row r="29" spans="1:19" x14ac:dyDescent="0.25">
      <c r="B29" s="197"/>
      <c r="C29" s="198"/>
      <c r="D29" s="198"/>
      <c r="E29" s="198"/>
      <c r="F29" s="198"/>
      <c r="G29" s="198"/>
      <c r="H29" s="198"/>
      <c r="I29" s="198"/>
      <c r="J29" s="198"/>
      <c r="K29" s="198"/>
      <c r="L29" s="198"/>
      <c r="M29" s="198"/>
      <c r="N29" s="112"/>
    </row>
    <row r="30" spans="1:19" x14ac:dyDescent="0.25">
      <c r="B30" s="197"/>
      <c r="C30" s="198"/>
      <c r="D30" s="198"/>
      <c r="E30" s="198"/>
      <c r="F30" s="198"/>
      <c r="G30" s="198"/>
      <c r="H30" s="198"/>
      <c r="I30" s="198"/>
      <c r="J30" s="198"/>
      <c r="K30" s="198"/>
      <c r="L30" s="198"/>
      <c r="M30" s="198"/>
      <c r="N30" s="112"/>
    </row>
    <row r="31" spans="1:19" x14ac:dyDescent="0.25">
      <c r="B31" s="197"/>
      <c r="C31" s="198"/>
      <c r="D31" s="198"/>
      <c r="E31" s="198"/>
      <c r="F31" s="198"/>
      <c r="G31" s="198"/>
      <c r="H31" s="198"/>
      <c r="I31" s="198"/>
      <c r="J31" s="198"/>
      <c r="K31" s="198"/>
      <c r="L31" s="198"/>
      <c r="M31" s="198"/>
      <c r="N31" s="112"/>
    </row>
    <row r="32" spans="1:19" x14ac:dyDescent="0.25">
      <c r="B32" s="197"/>
      <c r="C32" s="198"/>
      <c r="D32" s="198"/>
      <c r="E32" s="198"/>
      <c r="F32" s="198"/>
      <c r="G32" s="198"/>
      <c r="H32" s="198"/>
      <c r="I32" s="198"/>
      <c r="J32" s="198"/>
      <c r="K32" s="198"/>
      <c r="L32" s="198"/>
      <c r="M32" s="198"/>
      <c r="N32" s="112"/>
    </row>
    <row r="33" spans="1:14" x14ac:dyDescent="0.25">
      <c r="B33" s="197"/>
      <c r="C33" s="198"/>
      <c r="D33" s="198"/>
      <c r="E33" s="198"/>
      <c r="F33" s="198"/>
      <c r="G33" s="198"/>
      <c r="H33" s="198"/>
      <c r="I33" s="198"/>
      <c r="J33" s="198"/>
      <c r="K33" s="198"/>
      <c r="L33" s="198"/>
      <c r="M33" s="198"/>
      <c r="N33" s="112"/>
    </row>
    <row r="34" spans="1:14" x14ac:dyDescent="0.25">
      <c r="B34" s="197"/>
      <c r="C34" s="198"/>
      <c r="D34" s="198"/>
      <c r="E34" s="198"/>
      <c r="F34" s="198"/>
      <c r="G34" s="198"/>
      <c r="H34" s="198"/>
      <c r="I34" s="198"/>
      <c r="J34" s="198"/>
      <c r="K34" s="198"/>
      <c r="L34" s="198"/>
      <c r="M34" s="198"/>
      <c r="N34" s="112"/>
    </row>
    <row r="35" spans="1:14" x14ac:dyDescent="0.25">
      <c r="B35" s="197"/>
      <c r="C35" s="198"/>
      <c r="D35" s="198"/>
      <c r="E35" s="198"/>
      <c r="F35" s="198"/>
      <c r="G35" s="198"/>
      <c r="H35" s="198"/>
      <c r="I35" s="198"/>
      <c r="J35" s="198"/>
      <c r="K35" s="198"/>
      <c r="L35" s="198"/>
      <c r="M35" s="198"/>
      <c r="N35" s="112"/>
    </row>
    <row r="36" spans="1:14" ht="42.75" customHeight="1" x14ac:dyDescent="0.25">
      <c r="B36" s="197"/>
      <c r="C36" s="198"/>
      <c r="D36" s="198"/>
      <c r="E36" s="198"/>
      <c r="F36" s="198"/>
      <c r="G36" s="198"/>
      <c r="H36" s="198"/>
      <c r="I36" s="198"/>
      <c r="J36" s="198"/>
      <c r="K36" s="198"/>
      <c r="L36" s="198"/>
      <c r="M36" s="198"/>
      <c r="N36" s="112"/>
    </row>
    <row r="37" spans="1:14" ht="31.5" customHeight="1" x14ac:dyDescent="0.25">
      <c r="A37" s="128"/>
      <c r="B37" s="258" t="s">
        <v>23</v>
      </c>
      <c r="C37" s="258"/>
      <c r="D37" s="258"/>
      <c r="E37" s="258"/>
      <c r="F37" s="258"/>
      <c r="G37" s="258"/>
      <c r="H37" s="258"/>
      <c r="I37" s="258"/>
      <c r="J37" s="258"/>
      <c r="K37" s="258"/>
      <c r="L37" s="258"/>
      <c r="M37" s="258"/>
      <c r="N37" s="112"/>
    </row>
    <row r="38" spans="1:14" x14ac:dyDescent="0.25">
      <c r="B38" s="197"/>
      <c r="C38" s="198"/>
      <c r="D38" s="198"/>
      <c r="E38" s="198"/>
      <c r="F38" s="198"/>
      <c r="G38" s="198"/>
      <c r="H38" s="198"/>
      <c r="I38" s="198"/>
      <c r="J38" s="198"/>
      <c r="K38" s="198"/>
      <c r="L38" s="198"/>
      <c r="M38" s="198"/>
      <c r="N38" s="112"/>
    </row>
    <row r="39" spans="1:14" x14ac:dyDescent="0.25">
      <c r="B39" s="116" t="s">
        <v>24</v>
      </c>
      <c r="C39" s="205"/>
      <c r="D39" s="205"/>
      <c r="E39" s="205"/>
      <c r="F39" s="205"/>
      <c r="G39" s="205"/>
      <c r="H39" s="205"/>
      <c r="I39" s="205"/>
      <c r="J39" s="205"/>
      <c r="K39" s="205"/>
      <c r="L39" s="205"/>
      <c r="M39" s="205"/>
      <c r="N39" s="112"/>
    </row>
    <row r="40" spans="1:14" ht="72" customHeight="1" x14ac:dyDescent="0.25">
      <c r="A40" s="128"/>
      <c r="B40" s="258" t="s">
        <v>25</v>
      </c>
      <c r="C40" s="258"/>
      <c r="D40" s="258"/>
      <c r="E40" s="258"/>
      <c r="F40" s="258"/>
      <c r="G40" s="258"/>
      <c r="H40" s="258"/>
      <c r="I40" s="258"/>
      <c r="J40" s="258"/>
      <c r="K40" s="258"/>
      <c r="L40" s="258"/>
      <c r="M40" s="258"/>
      <c r="N40" s="112"/>
    </row>
    <row r="41" spans="1:14" ht="12.75" customHeight="1" x14ac:dyDescent="0.25">
      <c r="A41" s="128"/>
      <c r="B41" s="205"/>
      <c r="C41" s="205"/>
      <c r="D41" s="205"/>
      <c r="E41" s="205"/>
      <c r="F41" s="205"/>
      <c r="G41" s="205"/>
      <c r="H41" s="205"/>
      <c r="I41" s="205"/>
      <c r="J41" s="205"/>
      <c r="K41" s="205"/>
      <c r="L41" s="205"/>
      <c r="M41" s="205"/>
      <c r="N41" s="112"/>
    </row>
    <row r="42" spans="1:14" ht="18" x14ac:dyDescent="0.25">
      <c r="A42" s="128"/>
      <c r="B42" s="117" t="s">
        <v>26</v>
      </c>
      <c r="C42" s="205"/>
      <c r="D42" s="205"/>
      <c r="E42" s="205"/>
      <c r="F42" s="205"/>
      <c r="G42" s="205"/>
      <c r="H42" s="205"/>
      <c r="I42" s="205"/>
      <c r="J42" s="205"/>
      <c r="K42" s="205"/>
      <c r="L42" s="205"/>
      <c r="M42" s="205"/>
      <c r="N42" s="112"/>
    </row>
    <row r="43" spans="1:14" x14ac:dyDescent="0.25">
      <c r="A43" s="128"/>
      <c r="B43" s="205"/>
      <c r="C43" s="205"/>
      <c r="D43" s="205"/>
      <c r="E43" s="205"/>
      <c r="F43" s="205"/>
      <c r="G43" s="205"/>
      <c r="H43" s="205"/>
      <c r="I43" s="205"/>
      <c r="J43" s="205"/>
      <c r="K43" s="205"/>
      <c r="L43" s="205"/>
      <c r="M43" s="205"/>
      <c r="N43" s="112"/>
    </row>
    <row r="44" spans="1:14" x14ac:dyDescent="0.25">
      <c r="A44" s="128"/>
      <c r="B44" s="254" t="s">
        <v>27</v>
      </c>
      <c r="C44" s="255"/>
      <c r="D44" s="255"/>
      <c r="E44" s="255"/>
      <c r="F44" s="255"/>
      <c r="G44" s="255"/>
      <c r="H44" s="255"/>
      <c r="I44" s="255"/>
      <c r="J44" s="255"/>
      <c r="K44" s="255"/>
      <c r="L44" s="255"/>
      <c r="M44" s="255"/>
      <c r="N44" s="112"/>
    </row>
    <row r="45" spans="1:14" ht="9" customHeight="1" x14ac:dyDescent="0.25">
      <c r="A45" s="128"/>
      <c r="B45" s="205"/>
      <c r="C45" s="205"/>
      <c r="D45" s="205"/>
      <c r="E45" s="205"/>
      <c r="F45" s="205"/>
      <c r="G45" s="205"/>
      <c r="H45" s="205"/>
      <c r="I45" s="205"/>
      <c r="J45" s="205"/>
      <c r="K45" s="205"/>
      <c r="L45" s="205"/>
      <c r="M45" s="205"/>
      <c r="N45" s="112"/>
    </row>
    <row r="46" spans="1:14" x14ac:dyDescent="0.25">
      <c r="A46" s="128"/>
      <c r="B46" s="243" t="s">
        <v>28</v>
      </c>
      <c r="C46" s="244"/>
      <c r="D46" s="244"/>
      <c r="E46" s="244"/>
      <c r="F46" s="244"/>
      <c r="G46" s="244"/>
      <c r="H46" s="244"/>
      <c r="I46" s="244"/>
      <c r="J46" s="244"/>
      <c r="K46" s="244"/>
      <c r="L46" s="244"/>
      <c r="M46" s="244"/>
      <c r="N46" s="112"/>
    </row>
    <row r="47" spans="1:14" ht="45" customHeight="1" x14ac:dyDescent="0.25">
      <c r="A47" s="128"/>
      <c r="B47" s="253" t="s">
        <v>29</v>
      </c>
      <c r="C47" s="253"/>
      <c r="D47" s="253"/>
      <c r="E47" s="253"/>
      <c r="F47" s="253"/>
      <c r="G47" s="253"/>
      <c r="H47" s="253"/>
      <c r="I47" s="253"/>
      <c r="J47" s="253"/>
      <c r="K47" s="253"/>
      <c r="L47" s="253"/>
      <c r="M47" s="253"/>
      <c r="N47" s="112"/>
    </row>
    <row r="48" spans="1:14" ht="43.5" customHeight="1" x14ac:dyDescent="0.25">
      <c r="A48" s="128"/>
      <c r="B48" s="253" t="s">
        <v>30</v>
      </c>
      <c r="C48" s="253"/>
      <c r="D48" s="253"/>
      <c r="E48" s="253"/>
      <c r="F48" s="253"/>
      <c r="G48" s="253"/>
      <c r="H48" s="253"/>
      <c r="I48" s="253"/>
      <c r="J48" s="253"/>
      <c r="K48" s="253"/>
      <c r="L48" s="253"/>
      <c r="M48" s="253"/>
      <c r="N48" s="112"/>
    </row>
    <row r="49" spans="1:14" ht="15.75" customHeight="1" x14ac:dyDescent="0.25">
      <c r="A49" s="128"/>
      <c r="B49" s="253" t="s">
        <v>31</v>
      </c>
      <c r="C49" s="253"/>
      <c r="D49" s="253"/>
      <c r="E49" s="253"/>
      <c r="F49" s="253"/>
      <c r="G49" s="253"/>
      <c r="H49" s="253"/>
      <c r="I49" s="253"/>
      <c r="J49" s="253"/>
      <c r="K49" s="253"/>
      <c r="L49" s="253"/>
      <c r="M49" s="253"/>
      <c r="N49" s="112"/>
    </row>
    <row r="50" spans="1:14" ht="17.25" customHeight="1" x14ac:dyDescent="0.25">
      <c r="A50" s="128"/>
      <c r="B50" s="253" t="s">
        <v>327</v>
      </c>
      <c r="C50" s="253"/>
      <c r="D50" s="253"/>
      <c r="E50" s="253"/>
      <c r="F50" s="253"/>
      <c r="G50" s="253"/>
      <c r="H50" s="253"/>
      <c r="I50" s="253"/>
      <c r="J50" s="253"/>
      <c r="K50" s="253"/>
      <c r="L50" s="253"/>
      <c r="M50" s="253"/>
      <c r="N50" s="112"/>
    </row>
    <row r="51" spans="1:14" ht="90" customHeight="1" x14ac:dyDescent="0.25">
      <c r="A51" s="128"/>
      <c r="B51" s="253" t="s">
        <v>326</v>
      </c>
      <c r="C51" s="253"/>
      <c r="D51" s="253"/>
      <c r="E51" s="253"/>
      <c r="F51" s="253"/>
      <c r="G51" s="253"/>
      <c r="H51" s="253"/>
      <c r="I51" s="253"/>
      <c r="J51" s="253"/>
      <c r="K51" s="253"/>
      <c r="L51" s="253"/>
      <c r="M51" s="253"/>
      <c r="N51" s="112"/>
    </row>
    <row r="52" spans="1:14" ht="33.75" customHeight="1" x14ac:dyDescent="0.25">
      <c r="B52" s="247" t="s">
        <v>32</v>
      </c>
      <c r="C52" s="248"/>
      <c r="D52" s="248"/>
      <c r="E52" s="248"/>
      <c r="F52" s="248"/>
      <c r="G52" s="248"/>
      <c r="H52" s="248"/>
      <c r="I52" s="248"/>
      <c r="J52" s="248"/>
      <c r="K52" s="248"/>
      <c r="L52" s="248"/>
      <c r="M52" s="248"/>
      <c r="N52" s="112"/>
    </row>
    <row r="53" spans="1:14" ht="46.5" customHeight="1" x14ac:dyDescent="0.25">
      <c r="B53" s="245" t="s">
        <v>33</v>
      </c>
      <c r="C53" s="246"/>
      <c r="D53" s="246"/>
      <c r="E53" s="246"/>
      <c r="F53" s="246"/>
      <c r="G53" s="246"/>
      <c r="H53" s="246"/>
      <c r="I53" s="246"/>
      <c r="J53" s="246"/>
      <c r="K53" s="246"/>
      <c r="L53" s="246"/>
      <c r="M53" s="246"/>
      <c r="N53" s="112"/>
    </row>
    <row r="54" spans="1:14" ht="61.5" customHeight="1" x14ac:dyDescent="0.25">
      <c r="B54" s="245" t="s">
        <v>34</v>
      </c>
      <c r="C54" s="246"/>
      <c r="D54" s="246"/>
      <c r="E54" s="246"/>
      <c r="F54" s="246"/>
      <c r="G54" s="246"/>
      <c r="H54" s="246"/>
      <c r="I54" s="246"/>
      <c r="J54" s="246"/>
      <c r="K54" s="246"/>
      <c r="L54" s="246"/>
      <c r="M54" s="246"/>
      <c r="N54" s="112"/>
    </row>
    <row r="55" spans="1:14" x14ac:dyDescent="0.25">
      <c r="B55" s="243" t="s">
        <v>35</v>
      </c>
      <c r="C55" s="244"/>
      <c r="D55" s="244"/>
      <c r="E55" s="244"/>
      <c r="F55" s="244"/>
      <c r="G55" s="244"/>
      <c r="H55" s="244"/>
      <c r="I55" s="244"/>
      <c r="J55" s="244"/>
      <c r="K55" s="244"/>
      <c r="L55" s="244"/>
      <c r="M55" s="244"/>
      <c r="N55" s="112"/>
    </row>
    <row r="56" spans="1:14" x14ac:dyDescent="0.25">
      <c r="B56" s="193"/>
      <c r="C56" s="205"/>
      <c r="D56" s="205"/>
      <c r="E56" s="205"/>
      <c r="F56" s="205"/>
      <c r="G56" s="205"/>
      <c r="H56" s="205"/>
      <c r="I56" s="205"/>
      <c r="J56" s="205"/>
      <c r="K56" s="205"/>
      <c r="L56" s="205"/>
      <c r="M56" s="205"/>
      <c r="N56" s="112"/>
    </row>
    <row r="57" spans="1:14" ht="33" customHeight="1" x14ac:dyDescent="0.25">
      <c r="B57" s="247" t="s">
        <v>36</v>
      </c>
      <c r="C57" s="248"/>
      <c r="D57" s="248"/>
      <c r="E57" s="248"/>
      <c r="F57" s="248"/>
      <c r="G57" s="248"/>
      <c r="H57" s="248"/>
      <c r="I57" s="248"/>
      <c r="J57" s="248"/>
      <c r="K57" s="248"/>
      <c r="L57" s="248"/>
      <c r="M57" s="248"/>
      <c r="N57" s="112"/>
    </row>
    <row r="58" spans="1:14" x14ac:dyDescent="0.25">
      <c r="B58" s="193" t="s">
        <v>37</v>
      </c>
      <c r="C58" s="205"/>
      <c r="D58" s="205"/>
      <c r="E58" s="205"/>
      <c r="F58" s="205"/>
      <c r="G58" s="205"/>
      <c r="H58" s="205"/>
      <c r="I58" s="205"/>
      <c r="J58" s="205"/>
      <c r="K58" s="205"/>
      <c r="L58" s="205"/>
      <c r="M58" s="205"/>
      <c r="N58" s="112"/>
    </row>
    <row r="59" spans="1:14" ht="47.25" customHeight="1" x14ac:dyDescent="0.25">
      <c r="B59" s="245" t="s">
        <v>38</v>
      </c>
      <c r="C59" s="246"/>
      <c r="D59" s="246"/>
      <c r="E59" s="246"/>
      <c r="F59" s="246"/>
      <c r="G59" s="246"/>
      <c r="H59" s="246"/>
      <c r="I59" s="246"/>
      <c r="J59" s="246"/>
      <c r="K59" s="246"/>
      <c r="L59" s="246"/>
      <c r="M59" s="246"/>
      <c r="N59" s="112"/>
    </row>
    <row r="60" spans="1:14" x14ac:dyDescent="0.25">
      <c r="B60" s="193" t="s">
        <v>39</v>
      </c>
      <c r="C60" s="205"/>
      <c r="D60" s="205"/>
      <c r="E60" s="205"/>
      <c r="F60" s="205"/>
      <c r="G60" s="205"/>
      <c r="H60" s="205"/>
      <c r="I60" s="205"/>
      <c r="J60" s="205"/>
      <c r="K60" s="205"/>
      <c r="L60" s="205"/>
      <c r="M60" s="205"/>
      <c r="N60" s="112"/>
    </row>
    <row r="61" spans="1:14" x14ac:dyDescent="0.25">
      <c r="B61" s="193"/>
      <c r="C61" s="205"/>
      <c r="D61" s="205"/>
      <c r="E61" s="205"/>
      <c r="F61" s="205"/>
      <c r="G61" s="205"/>
      <c r="H61" s="205"/>
      <c r="I61" s="205"/>
      <c r="J61" s="205"/>
      <c r="K61" s="205"/>
      <c r="L61" s="205"/>
      <c r="M61" s="205"/>
      <c r="N61" s="112"/>
    </row>
    <row r="62" spans="1:14" ht="33" customHeight="1" x14ac:dyDescent="0.25">
      <c r="B62" s="247" t="s">
        <v>40</v>
      </c>
      <c r="C62" s="248"/>
      <c r="D62" s="248"/>
      <c r="E62" s="248"/>
      <c r="F62" s="248"/>
      <c r="G62" s="248"/>
      <c r="H62" s="248"/>
      <c r="I62" s="248"/>
      <c r="J62" s="248"/>
      <c r="K62" s="248"/>
      <c r="L62" s="248"/>
      <c r="M62" s="248"/>
      <c r="N62" s="112"/>
    </row>
    <row r="63" spans="1:14" x14ac:dyDescent="0.25">
      <c r="B63" s="243" t="s">
        <v>41</v>
      </c>
      <c r="C63" s="244"/>
      <c r="D63" s="244"/>
      <c r="E63" s="244"/>
      <c r="F63" s="244"/>
      <c r="G63" s="244"/>
      <c r="H63" s="244"/>
      <c r="I63" s="244"/>
      <c r="J63" s="244"/>
      <c r="K63" s="244"/>
      <c r="L63" s="244"/>
      <c r="M63" s="244"/>
      <c r="N63" s="112"/>
    </row>
    <row r="64" spans="1:14" x14ac:dyDescent="0.25">
      <c r="B64" s="243" t="s">
        <v>42</v>
      </c>
      <c r="C64" s="244"/>
      <c r="D64" s="244"/>
      <c r="E64" s="244"/>
      <c r="F64" s="244"/>
      <c r="G64" s="244"/>
      <c r="H64" s="244"/>
      <c r="I64" s="244"/>
      <c r="J64" s="244"/>
      <c r="K64" s="244"/>
      <c r="L64" s="244"/>
      <c r="M64" s="244"/>
      <c r="N64" s="112"/>
    </row>
    <row r="65" spans="2:14" ht="32.25" customHeight="1" x14ac:dyDescent="0.25">
      <c r="B65" s="245" t="s">
        <v>43</v>
      </c>
      <c r="C65" s="246"/>
      <c r="D65" s="246"/>
      <c r="E65" s="246"/>
      <c r="F65" s="246"/>
      <c r="G65" s="246"/>
      <c r="H65" s="246"/>
      <c r="I65" s="246"/>
      <c r="J65" s="246"/>
      <c r="K65" s="246"/>
      <c r="L65" s="246"/>
      <c r="M65" s="246"/>
      <c r="N65" s="112"/>
    </row>
    <row r="66" spans="2:14" ht="16.5" customHeight="1" x14ac:dyDescent="0.25">
      <c r="B66" s="192"/>
      <c r="C66" s="206"/>
      <c r="D66" s="206"/>
      <c r="E66" s="206"/>
      <c r="F66" s="206"/>
      <c r="G66" s="206"/>
      <c r="H66" s="206"/>
      <c r="I66" s="206"/>
      <c r="J66" s="206"/>
      <c r="K66" s="206"/>
      <c r="L66" s="206"/>
      <c r="M66" s="206"/>
      <c r="N66" s="112"/>
    </row>
    <row r="67" spans="2:14" x14ac:dyDescent="0.25">
      <c r="B67" s="247" t="s">
        <v>44</v>
      </c>
      <c r="C67" s="248"/>
      <c r="D67" s="248"/>
      <c r="E67" s="248"/>
      <c r="F67" s="248"/>
      <c r="G67" s="248"/>
      <c r="H67" s="248"/>
      <c r="I67" s="248"/>
      <c r="J67" s="248"/>
      <c r="K67" s="248"/>
      <c r="L67" s="248"/>
      <c r="M67" s="248"/>
      <c r="N67" s="112"/>
    </row>
    <row r="68" spans="2:14" ht="32.25" customHeight="1" x14ac:dyDescent="0.25">
      <c r="B68" s="192"/>
      <c r="C68" s="206"/>
      <c r="D68" s="206"/>
      <c r="E68" s="206"/>
      <c r="F68" s="206"/>
      <c r="G68" s="206"/>
      <c r="H68" s="206"/>
      <c r="I68" s="206"/>
      <c r="J68" s="206"/>
      <c r="K68" s="206"/>
      <c r="L68" s="206"/>
      <c r="M68" s="206"/>
      <c r="N68" s="112"/>
    </row>
    <row r="69" spans="2:14" ht="32.25" customHeight="1" x14ac:dyDescent="0.25">
      <c r="B69" s="192"/>
      <c r="C69" s="206"/>
      <c r="D69" s="206"/>
      <c r="E69" s="206"/>
      <c r="F69" s="206"/>
      <c r="G69" s="206"/>
      <c r="H69" s="206"/>
      <c r="I69" s="206"/>
      <c r="J69" s="206"/>
      <c r="K69" s="206"/>
      <c r="L69" s="206"/>
      <c r="M69" s="206"/>
      <c r="N69" s="112"/>
    </row>
    <row r="70" spans="2:14" ht="32.25" customHeight="1" x14ac:dyDescent="0.25">
      <c r="B70" s="192"/>
      <c r="C70" s="206"/>
      <c r="D70" s="206"/>
      <c r="E70" s="206"/>
      <c r="F70" s="206"/>
      <c r="G70" s="206"/>
      <c r="H70" s="206"/>
      <c r="I70" s="206"/>
      <c r="J70" s="206"/>
      <c r="K70" s="206"/>
      <c r="L70" s="206"/>
      <c r="M70" s="206"/>
      <c r="N70" s="112"/>
    </row>
    <row r="71" spans="2:14" ht="32.25" customHeight="1" x14ac:dyDescent="0.25">
      <c r="B71" s="192"/>
      <c r="C71" s="206"/>
      <c r="D71" s="206"/>
      <c r="E71" s="206"/>
      <c r="F71" s="206"/>
      <c r="G71" s="206"/>
      <c r="H71" s="206"/>
      <c r="I71" s="206"/>
      <c r="J71" s="206"/>
      <c r="K71" s="206"/>
      <c r="L71" s="206"/>
      <c r="M71" s="206"/>
      <c r="N71" s="112"/>
    </row>
    <row r="72" spans="2:14" ht="32.25" customHeight="1" x14ac:dyDescent="0.25">
      <c r="B72" s="192"/>
      <c r="C72" s="206"/>
      <c r="D72" s="206"/>
      <c r="E72" s="206"/>
      <c r="F72" s="206"/>
      <c r="G72" s="206"/>
      <c r="H72" s="206"/>
      <c r="I72" s="206"/>
      <c r="J72" s="206"/>
      <c r="K72" s="206"/>
      <c r="L72" s="206"/>
      <c r="M72" s="206"/>
      <c r="N72" s="112"/>
    </row>
    <row r="73" spans="2:14" ht="18" x14ac:dyDescent="0.25">
      <c r="B73" s="250" t="s">
        <v>45</v>
      </c>
      <c r="C73" s="251"/>
      <c r="D73" s="251"/>
      <c r="E73" s="251"/>
      <c r="F73" s="251"/>
      <c r="G73" s="251"/>
      <c r="H73" s="251"/>
      <c r="I73" s="251"/>
      <c r="J73" s="251"/>
      <c r="K73" s="251"/>
      <c r="L73" s="251"/>
      <c r="M73" s="251"/>
      <c r="N73" s="112"/>
    </row>
    <row r="74" spans="2:14" x14ac:dyDescent="0.25">
      <c r="B74" s="193"/>
      <c r="C74" s="205"/>
      <c r="D74" s="205"/>
      <c r="E74" s="205"/>
      <c r="F74" s="205"/>
      <c r="G74" s="205"/>
      <c r="H74" s="205"/>
      <c r="I74" s="205"/>
      <c r="J74" s="205"/>
      <c r="K74" s="205"/>
      <c r="L74" s="205"/>
      <c r="M74" s="205"/>
      <c r="N74" s="112"/>
    </row>
    <row r="75" spans="2:14" x14ac:dyDescent="0.25">
      <c r="B75" s="247" t="s">
        <v>46</v>
      </c>
      <c r="C75" s="248"/>
      <c r="D75" s="248"/>
      <c r="E75" s="248"/>
      <c r="F75" s="248"/>
      <c r="G75" s="248"/>
      <c r="H75" s="248"/>
      <c r="I75" s="248"/>
      <c r="J75" s="248"/>
      <c r="K75" s="248"/>
      <c r="L75" s="248"/>
      <c r="M75" s="248"/>
      <c r="N75" s="249"/>
    </row>
    <row r="76" spans="2:14" x14ac:dyDescent="0.25">
      <c r="B76" s="193" t="s">
        <v>47</v>
      </c>
      <c r="C76" s="205"/>
      <c r="D76" s="242" t="s">
        <v>48</v>
      </c>
      <c r="E76" s="242"/>
      <c r="F76" s="242"/>
      <c r="G76" s="242"/>
      <c r="H76" s="242"/>
      <c r="I76" s="242"/>
      <c r="J76" s="205"/>
      <c r="K76" s="205"/>
      <c r="L76" s="205"/>
      <c r="M76" s="205"/>
      <c r="N76" s="112"/>
    </row>
    <row r="77" spans="2:14" ht="27.75" customHeight="1" x14ac:dyDescent="0.25">
      <c r="B77" s="245" t="s">
        <v>49</v>
      </c>
      <c r="C77" s="246"/>
      <c r="D77" s="246"/>
      <c r="E77" s="246"/>
      <c r="F77" s="246"/>
      <c r="G77" s="246"/>
      <c r="H77" s="246"/>
      <c r="I77" s="246"/>
      <c r="J77" s="246"/>
      <c r="K77" s="246"/>
      <c r="L77" s="246"/>
      <c r="M77" s="246"/>
      <c r="N77" s="112"/>
    </row>
    <row r="78" spans="2:14" ht="29.25" customHeight="1" x14ac:dyDescent="0.25">
      <c r="B78" s="245" t="s">
        <v>50</v>
      </c>
      <c r="C78" s="246"/>
      <c r="D78" s="246"/>
      <c r="E78" s="246"/>
      <c r="F78" s="246"/>
      <c r="G78" s="246"/>
      <c r="H78" s="246"/>
      <c r="I78" s="246"/>
      <c r="J78" s="246"/>
      <c r="K78" s="246"/>
      <c r="L78" s="246"/>
      <c r="M78" s="246"/>
      <c r="N78" s="112"/>
    </row>
    <row r="79" spans="2:14" x14ac:dyDescent="0.25">
      <c r="B79" s="193" t="s">
        <v>51</v>
      </c>
      <c r="C79" s="205"/>
      <c r="D79" s="205"/>
      <c r="E79" s="205"/>
      <c r="F79" s="205"/>
      <c r="G79" s="205"/>
      <c r="H79" s="205"/>
      <c r="I79" s="205"/>
      <c r="J79" s="205"/>
      <c r="K79" s="205"/>
      <c r="L79" s="205"/>
      <c r="M79" s="205"/>
      <c r="N79" s="112"/>
    </row>
    <row r="80" spans="2:14" x14ac:dyDescent="0.25">
      <c r="B80" s="193"/>
      <c r="C80" s="205"/>
      <c r="D80" s="205"/>
      <c r="E80" s="205"/>
      <c r="F80" s="205"/>
      <c r="G80" s="205"/>
      <c r="H80" s="205"/>
      <c r="I80" s="205"/>
      <c r="J80" s="205"/>
      <c r="K80" s="205"/>
      <c r="L80" s="205"/>
      <c r="M80" s="205"/>
      <c r="N80" s="112"/>
    </row>
    <row r="81" spans="2:14" x14ac:dyDescent="0.25">
      <c r="B81" s="247" t="s">
        <v>52</v>
      </c>
      <c r="C81" s="248"/>
      <c r="D81" s="248"/>
      <c r="E81" s="248"/>
      <c r="F81" s="248"/>
      <c r="G81" s="248"/>
      <c r="H81" s="248"/>
      <c r="I81" s="248"/>
      <c r="J81" s="248"/>
      <c r="K81" s="248"/>
      <c r="L81" s="248"/>
      <c r="M81" s="248"/>
      <c r="N81" s="249"/>
    </row>
    <row r="82" spans="2:14" x14ac:dyDescent="0.25">
      <c r="B82" s="193" t="s">
        <v>53</v>
      </c>
      <c r="C82" s="205"/>
      <c r="D82" s="252" t="s">
        <v>54</v>
      </c>
      <c r="E82" s="252"/>
      <c r="F82" s="252"/>
      <c r="G82" s="252"/>
      <c r="H82" s="252"/>
      <c r="I82" s="205"/>
      <c r="J82" s="205"/>
      <c r="K82" s="205"/>
      <c r="L82" s="205"/>
      <c r="M82" s="205"/>
      <c r="N82" s="112"/>
    </row>
    <row r="83" spans="2:14" ht="58.5" customHeight="1" x14ac:dyDescent="0.25">
      <c r="B83" s="245" t="s">
        <v>55</v>
      </c>
      <c r="C83" s="246"/>
      <c r="D83" s="246"/>
      <c r="E83" s="246"/>
      <c r="F83" s="246"/>
      <c r="G83" s="246"/>
      <c r="H83" s="246"/>
      <c r="I83" s="246"/>
      <c r="J83" s="246"/>
      <c r="K83" s="246"/>
      <c r="L83" s="246"/>
      <c r="M83" s="246"/>
      <c r="N83" s="112"/>
    </row>
    <row r="84" spans="2:14" x14ac:dyDescent="0.25">
      <c r="B84" s="193" t="s">
        <v>56</v>
      </c>
      <c r="C84" s="205"/>
      <c r="D84" s="205"/>
      <c r="E84" s="205"/>
      <c r="F84" s="205"/>
      <c r="G84" s="205"/>
      <c r="H84" s="205"/>
      <c r="I84" s="205"/>
      <c r="J84" s="205"/>
      <c r="K84" s="205"/>
      <c r="L84" s="205"/>
      <c r="M84" s="205"/>
      <c r="N84" s="112"/>
    </row>
    <row r="85" spans="2:14" x14ac:dyDescent="0.25">
      <c r="B85" s="193" t="s">
        <v>57</v>
      </c>
      <c r="C85" s="205"/>
      <c r="D85" s="205"/>
      <c r="E85" s="205"/>
      <c r="F85" s="205"/>
      <c r="G85" s="205"/>
      <c r="H85" s="205"/>
      <c r="I85" s="205"/>
      <c r="J85" s="205"/>
      <c r="K85" s="205"/>
      <c r="L85" s="205"/>
      <c r="M85" s="205"/>
      <c r="N85" s="112"/>
    </row>
    <row r="86" spans="2:14" x14ac:dyDescent="0.25">
      <c r="B86" s="193"/>
      <c r="C86" s="205"/>
      <c r="D86" s="205"/>
      <c r="E86" s="205"/>
      <c r="F86" s="205"/>
      <c r="G86" s="205"/>
      <c r="H86" s="205"/>
      <c r="I86" s="205"/>
      <c r="J86" s="205"/>
      <c r="K86" s="205"/>
      <c r="L86" s="205"/>
      <c r="M86" s="205"/>
      <c r="N86" s="112"/>
    </row>
    <row r="87" spans="2:14" ht="31.5" customHeight="1" x14ac:dyDescent="0.25">
      <c r="B87" s="247" t="s">
        <v>58</v>
      </c>
      <c r="C87" s="248"/>
      <c r="D87" s="248"/>
      <c r="E87" s="248"/>
      <c r="F87" s="248"/>
      <c r="G87" s="248"/>
      <c r="H87" s="248"/>
      <c r="I87" s="248"/>
      <c r="J87" s="248"/>
      <c r="K87" s="248"/>
      <c r="L87" s="248"/>
      <c r="M87" s="248"/>
      <c r="N87" s="112"/>
    </row>
    <row r="88" spans="2:14" x14ac:dyDescent="0.25">
      <c r="B88" s="193" t="s">
        <v>47</v>
      </c>
      <c r="C88" s="205"/>
      <c r="D88" s="242" t="s">
        <v>59</v>
      </c>
      <c r="E88" s="242"/>
      <c r="F88" s="242"/>
      <c r="G88" s="242"/>
      <c r="H88" s="242"/>
      <c r="I88" s="205"/>
      <c r="J88" s="205"/>
      <c r="K88" s="205"/>
      <c r="L88" s="205"/>
      <c r="M88" s="205"/>
      <c r="N88" s="112"/>
    </row>
    <row r="89" spans="2:14" x14ac:dyDescent="0.25">
      <c r="B89" s="193" t="s">
        <v>60</v>
      </c>
      <c r="C89" s="205"/>
      <c r="D89" s="205"/>
      <c r="E89" s="205"/>
      <c r="F89" s="205"/>
      <c r="G89" s="205"/>
      <c r="H89" s="205"/>
      <c r="I89" s="205"/>
      <c r="J89" s="205"/>
      <c r="K89" s="205"/>
      <c r="L89" s="205"/>
      <c r="M89" s="205"/>
      <c r="N89" s="112"/>
    </row>
    <row r="90" spans="2:14" ht="28.5" customHeight="1" x14ac:dyDescent="0.25">
      <c r="B90" s="245" t="s">
        <v>61</v>
      </c>
      <c r="C90" s="246"/>
      <c r="D90" s="246"/>
      <c r="E90" s="246"/>
      <c r="F90" s="246"/>
      <c r="G90" s="246"/>
      <c r="H90" s="246"/>
      <c r="I90" s="246"/>
      <c r="J90" s="246"/>
      <c r="K90" s="246"/>
      <c r="L90" s="246"/>
      <c r="M90" s="246"/>
      <c r="N90" s="112"/>
    </row>
    <row r="91" spans="2:14" ht="30" customHeight="1" x14ac:dyDescent="0.25">
      <c r="B91" s="245" t="s">
        <v>62</v>
      </c>
      <c r="C91" s="246"/>
      <c r="D91" s="246"/>
      <c r="E91" s="246"/>
      <c r="F91" s="246"/>
      <c r="G91" s="246"/>
      <c r="H91" s="246"/>
      <c r="I91" s="246"/>
      <c r="J91" s="246"/>
      <c r="K91" s="246"/>
      <c r="L91" s="246"/>
      <c r="M91" s="246"/>
      <c r="N91" s="112"/>
    </row>
    <row r="92" spans="2:14" ht="33.75" customHeight="1" x14ac:dyDescent="0.25">
      <c r="B92" s="245" t="s">
        <v>63</v>
      </c>
      <c r="C92" s="246"/>
      <c r="D92" s="246"/>
      <c r="E92" s="246"/>
      <c r="F92" s="246"/>
      <c r="G92" s="246"/>
      <c r="H92" s="246"/>
      <c r="I92" s="246"/>
      <c r="J92" s="246"/>
      <c r="K92" s="246"/>
      <c r="L92" s="246"/>
      <c r="M92" s="246"/>
      <c r="N92" s="112"/>
    </row>
    <row r="93" spans="2:14" x14ac:dyDescent="0.25">
      <c r="B93" s="193"/>
      <c r="C93" s="205"/>
      <c r="D93" s="205"/>
      <c r="E93" s="205"/>
      <c r="F93" s="205"/>
      <c r="G93" s="205"/>
      <c r="H93" s="205"/>
      <c r="I93" s="205"/>
      <c r="J93" s="205"/>
      <c r="K93" s="205"/>
      <c r="L93" s="205"/>
      <c r="M93" s="205"/>
      <c r="N93" s="112"/>
    </row>
    <row r="94" spans="2:14" x14ac:dyDescent="0.25">
      <c r="B94" s="247" t="s">
        <v>64</v>
      </c>
      <c r="C94" s="248"/>
      <c r="D94" s="248"/>
      <c r="E94" s="248"/>
      <c r="F94" s="248"/>
      <c r="G94" s="248"/>
      <c r="H94" s="248"/>
      <c r="I94" s="248"/>
      <c r="J94" s="248"/>
      <c r="K94" s="248"/>
      <c r="L94" s="248"/>
      <c r="M94" s="248"/>
      <c r="N94" s="249"/>
    </row>
    <row r="95" spans="2:14" x14ac:dyDescent="0.25">
      <c r="B95" s="193" t="s">
        <v>65</v>
      </c>
      <c r="C95" s="205"/>
      <c r="D95" s="242" t="s">
        <v>66</v>
      </c>
      <c r="E95" s="242"/>
      <c r="F95" s="242"/>
      <c r="G95" s="242"/>
      <c r="H95" s="242"/>
      <c r="I95" s="242"/>
      <c r="J95" s="242"/>
      <c r="K95" s="205"/>
      <c r="L95" s="205"/>
      <c r="M95" s="205"/>
      <c r="N95" s="112"/>
    </row>
    <row r="96" spans="2:14" x14ac:dyDescent="0.25">
      <c r="B96" s="243" t="s">
        <v>67</v>
      </c>
      <c r="C96" s="244"/>
      <c r="D96" s="244"/>
      <c r="E96" s="244"/>
      <c r="F96" s="244"/>
      <c r="G96" s="244"/>
      <c r="H96" s="244"/>
      <c r="I96" s="244"/>
      <c r="J96" s="244"/>
      <c r="K96" s="244"/>
      <c r="L96" s="244"/>
      <c r="M96" s="244"/>
      <c r="N96" s="112"/>
    </row>
    <row r="97" spans="2:14" ht="18.75" customHeight="1" x14ac:dyDescent="0.25">
      <c r="B97" s="245" t="s">
        <v>68</v>
      </c>
      <c r="C97" s="246"/>
      <c r="D97" s="246"/>
      <c r="E97" s="246"/>
      <c r="F97" s="246"/>
      <c r="G97" s="246"/>
      <c r="H97" s="246"/>
      <c r="I97" s="246"/>
      <c r="J97" s="246"/>
      <c r="K97" s="246"/>
      <c r="L97" s="246"/>
      <c r="M97" s="246"/>
      <c r="N97" s="112"/>
    </row>
    <row r="98" spans="2:14" x14ac:dyDescent="0.25">
      <c r="B98" s="243" t="s">
        <v>69</v>
      </c>
      <c r="C98" s="244"/>
      <c r="D98" s="244"/>
      <c r="E98" s="244"/>
      <c r="F98" s="244"/>
      <c r="G98" s="244"/>
      <c r="H98" s="244"/>
      <c r="I98" s="244"/>
      <c r="J98" s="244"/>
      <c r="K98" s="244"/>
      <c r="L98" s="244"/>
      <c r="M98" s="244"/>
      <c r="N98" s="112"/>
    </row>
    <row r="99" spans="2:14" ht="15.75" thickBot="1" x14ac:dyDescent="0.3">
      <c r="B99" s="114"/>
      <c r="C99" s="115"/>
      <c r="D99" s="115"/>
      <c r="E99" s="115"/>
      <c r="F99" s="115"/>
      <c r="G99" s="115"/>
      <c r="H99" s="115"/>
      <c r="I99" s="115"/>
      <c r="J99" s="115"/>
      <c r="K99" s="115"/>
      <c r="L99" s="115"/>
      <c r="M99" s="115"/>
      <c r="N99" s="112"/>
    </row>
    <row r="100" spans="2:14" ht="15.75" thickTop="1" x14ac:dyDescent="0.25">
      <c r="B100" s="129"/>
      <c r="C100" s="207"/>
      <c r="D100" s="207"/>
      <c r="E100" s="207"/>
      <c r="F100" s="207"/>
      <c r="G100" s="207"/>
      <c r="H100" s="207"/>
      <c r="I100" s="207"/>
      <c r="J100" s="207"/>
      <c r="K100" s="207"/>
      <c r="L100" s="207"/>
      <c r="M100" s="207"/>
      <c r="N100" s="208"/>
    </row>
    <row r="101" spans="2:14" x14ac:dyDescent="0.25">
      <c r="B101" s="207"/>
      <c r="C101" s="207"/>
      <c r="D101" s="207"/>
      <c r="E101" s="207"/>
      <c r="F101" s="207"/>
      <c r="G101" s="207"/>
      <c r="H101" s="207"/>
      <c r="I101" s="207"/>
      <c r="J101" s="207"/>
      <c r="K101" s="207"/>
      <c r="L101" s="207"/>
      <c r="M101" s="207"/>
    </row>
    <row r="102" spans="2:14" x14ac:dyDescent="0.25">
      <c r="B102" s="207"/>
      <c r="C102" s="207"/>
      <c r="D102" s="207"/>
      <c r="E102" s="207"/>
      <c r="F102" s="207"/>
      <c r="G102" s="207"/>
      <c r="H102" s="207"/>
      <c r="I102" s="207"/>
      <c r="J102" s="207"/>
      <c r="K102" s="207"/>
      <c r="L102" s="207"/>
      <c r="M102" s="207"/>
    </row>
    <row r="103" spans="2:14" x14ac:dyDescent="0.25">
      <c r="B103" s="207"/>
      <c r="C103" s="207"/>
      <c r="D103" s="207"/>
      <c r="E103" s="207"/>
      <c r="F103" s="207"/>
      <c r="G103" s="207"/>
      <c r="H103" s="207"/>
      <c r="I103" s="207"/>
      <c r="J103" s="207"/>
      <c r="K103" s="207"/>
      <c r="L103" s="207"/>
      <c r="M103" s="207"/>
    </row>
    <row r="104" spans="2:14" x14ac:dyDescent="0.25">
      <c r="B104" s="207"/>
      <c r="C104" s="207"/>
      <c r="D104" s="207"/>
      <c r="E104" s="207"/>
      <c r="F104" s="207"/>
      <c r="G104" s="207"/>
      <c r="H104" s="207"/>
      <c r="I104" s="207"/>
      <c r="J104" s="207"/>
      <c r="K104" s="207"/>
      <c r="L104" s="207"/>
      <c r="M104" s="207"/>
    </row>
    <row r="105" spans="2:14" x14ac:dyDescent="0.25">
      <c r="B105" s="207"/>
      <c r="C105" s="207"/>
      <c r="D105" s="207"/>
      <c r="E105" s="207"/>
      <c r="F105" s="207"/>
      <c r="G105" s="207"/>
      <c r="H105" s="207"/>
      <c r="I105" s="207"/>
      <c r="J105" s="207"/>
      <c r="K105" s="207"/>
      <c r="L105" s="207"/>
      <c r="M105" s="207"/>
    </row>
    <row r="106" spans="2:14" x14ac:dyDescent="0.25">
      <c r="B106" s="207"/>
      <c r="C106" s="207"/>
      <c r="D106" s="207"/>
      <c r="E106" s="207"/>
      <c r="F106" s="207"/>
      <c r="G106" s="207"/>
      <c r="H106" s="207"/>
      <c r="I106" s="207"/>
      <c r="J106" s="207"/>
      <c r="K106" s="207"/>
      <c r="L106" s="207"/>
      <c r="M106" s="207"/>
    </row>
    <row r="107" spans="2:14" x14ac:dyDescent="0.25">
      <c r="B107" s="207"/>
      <c r="C107" s="207"/>
      <c r="D107" s="207"/>
      <c r="E107" s="207"/>
      <c r="F107" s="207"/>
      <c r="G107" s="207"/>
      <c r="H107" s="207"/>
      <c r="I107" s="207"/>
      <c r="J107" s="207"/>
      <c r="K107" s="207"/>
      <c r="L107" s="207"/>
      <c r="M107" s="207"/>
    </row>
    <row r="108" spans="2:14" x14ac:dyDescent="0.25">
      <c r="B108" s="207"/>
      <c r="C108" s="207"/>
      <c r="D108" s="207"/>
      <c r="E108" s="207"/>
      <c r="F108" s="207"/>
      <c r="G108" s="207"/>
      <c r="H108" s="207"/>
      <c r="I108" s="207"/>
      <c r="J108" s="207"/>
      <c r="K108" s="207"/>
      <c r="L108" s="207"/>
      <c r="M108" s="207"/>
    </row>
    <row r="109" spans="2:14" x14ac:dyDescent="0.25">
      <c r="B109" s="207"/>
      <c r="C109" s="207"/>
      <c r="D109" s="207"/>
      <c r="E109" s="207"/>
      <c r="F109" s="207"/>
      <c r="G109" s="207"/>
      <c r="H109" s="207"/>
      <c r="I109" s="207"/>
      <c r="J109" s="207"/>
      <c r="K109" s="207"/>
      <c r="L109" s="207"/>
      <c r="M109" s="207"/>
    </row>
    <row r="110" spans="2:14" x14ac:dyDescent="0.25">
      <c r="B110" s="207"/>
      <c r="C110" s="207"/>
      <c r="D110" s="207"/>
      <c r="E110" s="207"/>
      <c r="F110" s="207"/>
      <c r="G110" s="207"/>
      <c r="H110" s="207"/>
      <c r="I110" s="207"/>
      <c r="J110" s="207"/>
      <c r="K110" s="207"/>
      <c r="L110" s="207"/>
      <c r="M110" s="207"/>
    </row>
    <row r="111" spans="2:14" x14ac:dyDescent="0.25">
      <c r="B111" s="207"/>
      <c r="C111" s="207"/>
      <c r="D111" s="207"/>
      <c r="E111" s="207"/>
      <c r="F111" s="207"/>
      <c r="G111" s="207"/>
      <c r="H111" s="207"/>
      <c r="I111" s="207"/>
      <c r="J111" s="207"/>
      <c r="K111" s="207"/>
      <c r="L111" s="207"/>
      <c r="M111" s="207"/>
    </row>
    <row r="112" spans="2:14" x14ac:dyDescent="0.25">
      <c r="B112" s="207"/>
      <c r="C112" s="207"/>
      <c r="D112" s="207"/>
      <c r="E112" s="207"/>
      <c r="F112" s="207"/>
      <c r="G112" s="207"/>
      <c r="H112" s="207"/>
      <c r="I112" s="207"/>
      <c r="J112" s="207"/>
      <c r="K112" s="207"/>
      <c r="L112" s="207"/>
      <c r="M112" s="207"/>
    </row>
    <row r="113" spans="2:13" x14ac:dyDescent="0.25">
      <c r="B113" s="207"/>
      <c r="C113" s="207"/>
      <c r="D113" s="207"/>
      <c r="E113" s="207"/>
      <c r="F113" s="207"/>
      <c r="G113" s="207"/>
      <c r="H113" s="207"/>
      <c r="I113" s="207"/>
      <c r="J113" s="207"/>
      <c r="K113" s="207"/>
      <c r="L113" s="207"/>
      <c r="M113" s="207"/>
    </row>
    <row r="114" spans="2:13" x14ac:dyDescent="0.25">
      <c r="B114" s="207"/>
      <c r="C114" s="207"/>
      <c r="D114" s="207"/>
      <c r="E114" s="207"/>
      <c r="F114" s="207"/>
      <c r="G114" s="207"/>
      <c r="H114" s="207"/>
      <c r="I114" s="207"/>
      <c r="J114" s="207"/>
      <c r="K114" s="207"/>
      <c r="L114" s="207"/>
      <c r="M114" s="207"/>
    </row>
    <row r="115" spans="2:13" x14ac:dyDescent="0.25">
      <c r="B115" s="207"/>
      <c r="C115" s="207"/>
      <c r="D115" s="207"/>
      <c r="E115" s="207"/>
      <c r="F115" s="207"/>
      <c r="G115" s="207"/>
      <c r="H115" s="207"/>
      <c r="I115" s="207"/>
      <c r="J115" s="207"/>
      <c r="K115" s="207"/>
      <c r="L115" s="207"/>
      <c r="M115" s="207"/>
    </row>
    <row r="116" spans="2:13" x14ac:dyDescent="0.25">
      <c r="B116" s="207"/>
      <c r="C116" s="207"/>
      <c r="D116" s="207"/>
      <c r="E116" s="207"/>
      <c r="F116" s="207"/>
      <c r="G116" s="207"/>
      <c r="H116" s="207"/>
      <c r="I116" s="207"/>
      <c r="J116" s="207"/>
      <c r="K116" s="207"/>
      <c r="L116" s="207"/>
      <c r="M116" s="207"/>
    </row>
    <row r="117" spans="2:13" x14ac:dyDescent="0.25">
      <c r="B117" s="207"/>
      <c r="C117" s="207"/>
      <c r="D117" s="207"/>
      <c r="E117" s="207"/>
      <c r="F117" s="207"/>
      <c r="G117" s="207"/>
      <c r="H117" s="207"/>
      <c r="I117" s="207"/>
      <c r="J117" s="207"/>
      <c r="K117" s="207"/>
      <c r="L117" s="207"/>
      <c r="M117" s="207"/>
    </row>
    <row r="118" spans="2:13" x14ac:dyDescent="0.25">
      <c r="B118" s="207"/>
      <c r="C118" s="207"/>
      <c r="D118" s="207"/>
      <c r="E118" s="207"/>
      <c r="F118" s="207"/>
      <c r="G118" s="207"/>
      <c r="H118" s="207"/>
      <c r="I118" s="207"/>
      <c r="J118" s="207"/>
      <c r="K118" s="207"/>
      <c r="L118" s="207"/>
      <c r="M118" s="207"/>
    </row>
    <row r="119" spans="2:13" x14ac:dyDescent="0.25">
      <c r="B119" s="207"/>
      <c r="C119" s="207"/>
      <c r="D119" s="207"/>
      <c r="E119" s="207"/>
      <c r="F119" s="207"/>
      <c r="G119" s="207"/>
      <c r="H119" s="207"/>
      <c r="I119" s="207"/>
      <c r="J119" s="207"/>
      <c r="K119" s="207"/>
      <c r="L119" s="207"/>
      <c r="M119" s="207"/>
    </row>
    <row r="120" spans="2:13" x14ac:dyDescent="0.25">
      <c r="B120" s="207"/>
      <c r="C120" s="207"/>
      <c r="D120" s="207"/>
      <c r="E120" s="207"/>
      <c r="F120" s="207"/>
      <c r="G120" s="207"/>
      <c r="H120" s="207"/>
      <c r="I120" s="207"/>
      <c r="J120" s="207"/>
      <c r="K120" s="207"/>
      <c r="L120" s="207"/>
      <c r="M120" s="207"/>
    </row>
    <row r="121" spans="2:13" x14ac:dyDescent="0.25">
      <c r="B121" s="207"/>
      <c r="C121" s="207"/>
      <c r="D121" s="207"/>
      <c r="E121" s="207"/>
      <c r="F121" s="207"/>
      <c r="G121" s="207"/>
      <c r="H121" s="207"/>
      <c r="I121" s="207"/>
      <c r="J121" s="207"/>
      <c r="K121" s="207"/>
      <c r="L121" s="207"/>
      <c r="M121" s="207"/>
    </row>
    <row r="122" spans="2:13" x14ac:dyDescent="0.25">
      <c r="B122" s="207"/>
      <c r="C122" s="207"/>
      <c r="D122" s="207"/>
      <c r="E122" s="207"/>
      <c r="F122" s="207"/>
      <c r="G122" s="207"/>
      <c r="H122" s="207"/>
      <c r="I122" s="207"/>
      <c r="J122" s="207"/>
      <c r="K122" s="207"/>
      <c r="L122" s="207"/>
      <c r="M122" s="207"/>
    </row>
    <row r="123" spans="2:13" x14ac:dyDescent="0.25">
      <c r="B123" s="207"/>
      <c r="C123" s="207"/>
      <c r="D123" s="207"/>
      <c r="E123" s="207"/>
      <c r="F123" s="207"/>
      <c r="G123" s="207"/>
      <c r="H123" s="207"/>
      <c r="I123" s="207"/>
      <c r="J123" s="207"/>
      <c r="K123" s="207"/>
      <c r="L123" s="207"/>
      <c r="M123" s="207"/>
    </row>
    <row r="124" spans="2:13" x14ac:dyDescent="0.25">
      <c r="B124" s="207"/>
      <c r="C124" s="207"/>
      <c r="D124" s="207"/>
      <c r="E124" s="207"/>
      <c r="F124" s="207"/>
      <c r="G124" s="207"/>
      <c r="H124" s="207"/>
      <c r="I124" s="207"/>
      <c r="J124" s="207"/>
      <c r="K124" s="207"/>
      <c r="L124" s="207"/>
      <c r="M124" s="207"/>
    </row>
    <row r="125" spans="2:13" x14ac:dyDescent="0.25">
      <c r="B125" s="207"/>
      <c r="C125" s="207"/>
      <c r="D125" s="207"/>
      <c r="E125" s="207"/>
      <c r="F125" s="207"/>
      <c r="G125" s="207"/>
      <c r="H125" s="207"/>
      <c r="I125" s="207"/>
      <c r="J125" s="207"/>
      <c r="K125" s="207"/>
      <c r="L125" s="207"/>
      <c r="M125" s="207"/>
    </row>
    <row r="126" spans="2:13" x14ac:dyDescent="0.25">
      <c r="B126" s="207"/>
      <c r="C126" s="207"/>
      <c r="D126" s="207"/>
      <c r="E126" s="207"/>
      <c r="F126" s="207"/>
      <c r="G126" s="207"/>
      <c r="H126" s="207"/>
      <c r="I126" s="207"/>
      <c r="J126" s="207"/>
      <c r="K126" s="207"/>
      <c r="L126" s="207"/>
      <c r="M126" s="207"/>
    </row>
    <row r="127" spans="2:13" x14ac:dyDescent="0.25">
      <c r="B127" s="207"/>
      <c r="C127" s="207"/>
      <c r="D127" s="207"/>
      <c r="E127" s="207"/>
      <c r="F127" s="207"/>
      <c r="G127" s="207"/>
      <c r="H127" s="207"/>
      <c r="I127" s="207"/>
      <c r="J127" s="207"/>
      <c r="K127" s="207"/>
      <c r="L127" s="207"/>
      <c r="M127" s="207"/>
    </row>
    <row r="128" spans="2:13" x14ac:dyDescent="0.25">
      <c r="B128" s="207"/>
      <c r="C128" s="207"/>
      <c r="D128" s="207"/>
      <c r="E128" s="207"/>
      <c r="F128" s="207"/>
      <c r="G128" s="207"/>
      <c r="H128" s="207"/>
      <c r="I128" s="207"/>
      <c r="J128" s="207"/>
      <c r="K128" s="207"/>
      <c r="L128" s="207"/>
      <c r="M128" s="207"/>
    </row>
    <row r="129" spans="2:13" x14ac:dyDescent="0.25">
      <c r="B129" s="207"/>
      <c r="C129" s="207"/>
      <c r="D129" s="207"/>
      <c r="E129" s="207"/>
      <c r="F129" s="207"/>
      <c r="G129" s="207"/>
      <c r="H129" s="207"/>
      <c r="I129" s="207"/>
      <c r="J129" s="207"/>
      <c r="K129" s="207"/>
      <c r="L129" s="207"/>
      <c r="M129" s="207"/>
    </row>
    <row r="130" spans="2:13" x14ac:dyDescent="0.25">
      <c r="B130" s="207"/>
      <c r="C130" s="207"/>
      <c r="D130" s="207"/>
      <c r="E130" s="207"/>
      <c r="F130" s="207"/>
      <c r="G130" s="207"/>
      <c r="H130" s="207"/>
      <c r="I130" s="207"/>
      <c r="J130" s="207"/>
      <c r="K130" s="207"/>
      <c r="L130" s="207"/>
      <c r="M130" s="207"/>
    </row>
    <row r="131" spans="2:13" x14ac:dyDescent="0.25">
      <c r="B131" s="207"/>
      <c r="C131" s="207"/>
      <c r="D131" s="207"/>
      <c r="E131" s="207"/>
      <c r="F131" s="207"/>
      <c r="G131" s="207"/>
      <c r="H131" s="207"/>
      <c r="I131" s="207"/>
      <c r="J131" s="207"/>
      <c r="K131" s="207"/>
      <c r="L131" s="207"/>
      <c r="M131" s="207"/>
    </row>
    <row r="132" spans="2:13" x14ac:dyDescent="0.25">
      <c r="B132" s="207"/>
      <c r="C132" s="207"/>
      <c r="D132" s="207"/>
      <c r="E132" s="207"/>
      <c r="F132" s="207"/>
      <c r="G132" s="207"/>
      <c r="H132" s="207"/>
      <c r="I132" s="207"/>
      <c r="J132" s="207"/>
      <c r="K132" s="207"/>
      <c r="L132" s="207"/>
      <c r="M132" s="207"/>
    </row>
    <row r="133" spans="2:13" x14ac:dyDescent="0.25">
      <c r="B133" s="207"/>
      <c r="C133" s="207"/>
      <c r="D133" s="207"/>
      <c r="E133" s="207"/>
      <c r="F133" s="207"/>
      <c r="G133" s="207"/>
      <c r="H133" s="207"/>
      <c r="I133" s="207"/>
      <c r="J133" s="207"/>
      <c r="K133" s="207"/>
      <c r="L133" s="207"/>
      <c r="M133" s="207"/>
    </row>
    <row r="134" spans="2:13" x14ac:dyDescent="0.25">
      <c r="B134" s="207"/>
      <c r="C134" s="207"/>
      <c r="D134" s="207"/>
      <c r="E134" s="207"/>
      <c r="F134" s="207"/>
      <c r="G134" s="207"/>
      <c r="H134" s="207"/>
      <c r="I134" s="207"/>
      <c r="J134" s="207"/>
      <c r="K134" s="207"/>
      <c r="L134" s="207"/>
      <c r="M134" s="207"/>
    </row>
  </sheetData>
  <sheetProtection algorithmName="SHA-512" hashValue="Ut0FQGlM4VTAfAR93/tXEX6wqaMdXrU6X6wrSupbj8ZB/0/nwmLHgMvk1lQ+RJWKGSYDAIt8pboxSoA4GNlJ6g==" saltValue="8+bAI4H8nuSZyX57kQ9Bsw==" spinCount="100000" sheet="1" objects="1" scenarios="1"/>
  <mergeCells count="41">
    <mergeCell ref="B44:M44"/>
    <mergeCell ref="B3:N5"/>
    <mergeCell ref="B7:M7"/>
    <mergeCell ref="B27:M27"/>
    <mergeCell ref="B37:M37"/>
    <mergeCell ref="B40:M40"/>
    <mergeCell ref="B62:M62"/>
    <mergeCell ref="B46:M46"/>
    <mergeCell ref="B47:M47"/>
    <mergeCell ref="B48:M48"/>
    <mergeCell ref="B49:M49"/>
    <mergeCell ref="B51:M51"/>
    <mergeCell ref="B52:M52"/>
    <mergeCell ref="B53:M53"/>
    <mergeCell ref="B54:M54"/>
    <mergeCell ref="B55:M55"/>
    <mergeCell ref="B57:M57"/>
    <mergeCell ref="B59:M59"/>
    <mergeCell ref="B50:M50"/>
    <mergeCell ref="B83:M83"/>
    <mergeCell ref="B63:M63"/>
    <mergeCell ref="B64:M64"/>
    <mergeCell ref="B65:M65"/>
    <mergeCell ref="B67:M67"/>
    <mergeCell ref="B73:M73"/>
    <mergeCell ref="B75:N75"/>
    <mergeCell ref="D76:I76"/>
    <mergeCell ref="B77:M77"/>
    <mergeCell ref="B78:M78"/>
    <mergeCell ref="B81:N81"/>
    <mergeCell ref="D82:H82"/>
    <mergeCell ref="D95:J95"/>
    <mergeCell ref="B96:M96"/>
    <mergeCell ref="B97:M97"/>
    <mergeCell ref="B98:M98"/>
    <mergeCell ref="B87:M87"/>
    <mergeCell ref="D88:H88"/>
    <mergeCell ref="B90:M90"/>
    <mergeCell ref="B91:M91"/>
    <mergeCell ref="B92:M92"/>
    <mergeCell ref="B94:N94"/>
  </mergeCells>
  <hyperlinks>
    <hyperlink ref="D76" r:id="rId1" xr:uid="{1C23F848-D847-4FAA-9115-63E571B74DA3}"/>
    <hyperlink ref="D82" r:id="rId2" location="." xr:uid="{550E4A66-6831-4B80-B414-9C5A7C29445D}"/>
    <hyperlink ref="D95" r:id="rId3" xr:uid="{4B03C191-18E0-41C6-A966-00EB5B3B9E9B}"/>
    <hyperlink ref="D88" r:id="rId4" xr:uid="{6F5C2EC5-6A99-4689-9017-6ECFECD11DD3}"/>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0F8E3-DC30-4251-8DB2-7803AADAE64F}">
  <dimension ref="B2:M12"/>
  <sheetViews>
    <sheetView showRowColHeaders="0" zoomScaleNormal="100" workbookViewId="0">
      <selection activeCell="D7" sqref="D7:K7"/>
    </sheetView>
  </sheetViews>
  <sheetFormatPr defaultColWidth="9.140625" defaultRowHeight="15" x14ac:dyDescent="0.25"/>
  <cols>
    <col min="1" max="1" width="9.140625" style="127"/>
    <col min="2" max="2" width="3.7109375" style="127" customWidth="1"/>
    <col min="3" max="3" width="30.5703125" style="127" customWidth="1"/>
    <col min="4" max="4" width="11.28515625" style="127" bestFit="1" customWidth="1"/>
    <col min="5" max="10" width="9.140625" style="127"/>
    <col min="11" max="11" width="10.28515625" style="127" customWidth="1"/>
    <col min="12" max="12" width="4.140625" style="127" customWidth="1"/>
    <col min="13" max="16384" width="9.140625" style="127"/>
  </cols>
  <sheetData>
    <row r="2" spans="2:13" ht="15.75" thickBot="1" x14ac:dyDescent="0.3"/>
    <row r="3" spans="2:13" ht="15.75" customHeight="1" thickTop="1" x14ac:dyDescent="0.25">
      <c r="B3" s="225" t="s">
        <v>70</v>
      </c>
      <c r="C3" s="226"/>
      <c r="D3" s="226"/>
      <c r="E3" s="226"/>
      <c r="F3" s="226"/>
      <c r="G3" s="226"/>
      <c r="H3" s="226"/>
      <c r="I3" s="226"/>
      <c r="J3" s="226"/>
      <c r="K3" s="226"/>
      <c r="L3" s="227"/>
    </row>
    <row r="4" spans="2:13" ht="15" customHeight="1" x14ac:dyDescent="0.25">
      <c r="B4" s="228"/>
      <c r="C4" s="229"/>
      <c r="D4" s="229"/>
      <c r="E4" s="229"/>
      <c r="F4" s="229"/>
      <c r="G4" s="229"/>
      <c r="H4" s="229"/>
      <c r="I4" s="229"/>
      <c r="J4" s="229"/>
      <c r="K4" s="229"/>
      <c r="L4" s="230"/>
    </row>
    <row r="5" spans="2:13" ht="15" customHeight="1" x14ac:dyDescent="0.25">
      <c r="B5" s="228"/>
      <c r="C5" s="229"/>
      <c r="D5" s="229"/>
      <c r="E5" s="229"/>
      <c r="F5" s="229"/>
      <c r="G5" s="229"/>
      <c r="H5" s="229"/>
      <c r="I5" s="229"/>
      <c r="J5" s="229"/>
      <c r="K5" s="229"/>
      <c r="L5" s="230"/>
    </row>
    <row r="6" spans="2:13" ht="21" customHeight="1" x14ac:dyDescent="0.25">
      <c r="B6" s="122"/>
      <c r="C6" s="133"/>
      <c r="D6" s="133"/>
      <c r="E6" s="133"/>
      <c r="F6" s="133"/>
      <c r="G6" s="133"/>
      <c r="H6" s="133"/>
      <c r="I6" s="133"/>
      <c r="J6" s="133"/>
      <c r="K6" s="133"/>
      <c r="L6" s="112"/>
    </row>
    <row r="7" spans="2:13" ht="18" thickBot="1" x14ac:dyDescent="0.3">
      <c r="B7" s="122"/>
      <c r="C7" s="65" t="s">
        <v>71</v>
      </c>
      <c r="D7" s="259"/>
      <c r="E7" s="259"/>
      <c r="F7" s="259"/>
      <c r="G7" s="259"/>
      <c r="H7" s="259"/>
      <c r="I7" s="259"/>
      <c r="J7" s="259"/>
      <c r="K7" s="259"/>
      <c r="L7" s="135"/>
      <c r="M7" s="131"/>
    </row>
    <row r="8" spans="2:13" ht="35.25" customHeight="1" thickBot="1" x14ac:dyDescent="0.3">
      <c r="B8" s="122"/>
      <c r="C8" s="50" t="s">
        <v>72</v>
      </c>
      <c r="D8" s="260"/>
      <c r="E8" s="260"/>
      <c r="F8" s="260"/>
      <c r="G8" s="260"/>
      <c r="H8" s="260"/>
      <c r="I8" s="260"/>
      <c r="J8" s="260"/>
      <c r="K8" s="260"/>
      <c r="L8" s="134"/>
    </row>
    <row r="9" spans="2:13" ht="39.75" customHeight="1" thickBot="1" x14ac:dyDescent="0.3">
      <c r="B9" s="122"/>
      <c r="C9" s="138" t="s">
        <v>73</v>
      </c>
      <c r="D9" s="260"/>
      <c r="E9" s="260"/>
      <c r="F9" s="260"/>
      <c r="G9" s="260"/>
      <c r="H9" s="260"/>
      <c r="I9" s="260"/>
      <c r="J9" s="260"/>
      <c r="K9" s="260"/>
      <c r="L9" s="136"/>
    </row>
    <row r="10" spans="2:13" ht="97.5" customHeight="1" x14ac:dyDescent="0.25">
      <c r="B10" s="122"/>
      <c r="C10" s="139" t="s">
        <v>74</v>
      </c>
      <c r="D10" s="261"/>
      <c r="E10" s="261"/>
      <c r="F10" s="261"/>
      <c r="G10" s="261"/>
      <c r="H10" s="261"/>
      <c r="I10" s="261"/>
      <c r="J10" s="261"/>
      <c r="K10" s="261"/>
      <c r="L10" s="136"/>
    </row>
    <row r="11" spans="2:13" ht="18.75" customHeight="1" thickBot="1" x14ac:dyDescent="0.3">
      <c r="B11" s="137"/>
      <c r="C11" s="125"/>
      <c r="D11" s="125"/>
      <c r="E11" s="125"/>
      <c r="F11" s="125"/>
      <c r="G11" s="125"/>
      <c r="H11" s="125"/>
      <c r="I11" s="125"/>
      <c r="J11" s="125"/>
      <c r="K11" s="125"/>
      <c r="L11" s="126"/>
    </row>
    <row r="12" spans="2:13" ht="15.75" thickTop="1" x14ac:dyDescent="0.25"/>
  </sheetData>
  <sheetProtection algorithmName="SHA-512" hashValue="ALUoXdLSUs6KaljT92XnXJp2USjnlJm3x7iYOY18nryUwAfjru3FJKQi7iJQyP1nG7V+xV+CE7pUOiuB9M029g==" saltValue="/R1onMrQ0ehShZ3hZLa3PA==" spinCount="100000" sheet="1" objects="1" scenarios="1"/>
  <protectedRanges>
    <protectedRange algorithmName="SHA-512" hashValue="SHG10UZqZcCCj1TlE0oMrNwpbuNqhSNbZCwxpw++PI3Kxkmq2fWr9Ho16Rbx5ot4bT8+4oJGur23Sg/eixRu2g==" saltValue="jl/WveE0aj4CwYBOiCOlBg==" spinCount="100000" sqref="D7:K10" name="Range1"/>
  </protectedRanges>
  <mergeCells count="5">
    <mergeCell ref="B3:L5"/>
    <mergeCell ref="D7:K7"/>
    <mergeCell ref="D8:K8"/>
    <mergeCell ref="D9:K9"/>
    <mergeCell ref="D10:K1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5EC83-D5C1-4D5C-99F6-1378213F0706}">
  <dimension ref="A3:N38"/>
  <sheetViews>
    <sheetView showRowColHeaders="0" zoomScaleNormal="100" workbookViewId="0">
      <selection activeCell="D14" sqref="D14"/>
    </sheetView>
  </sheetViews>
  <sheetFormatPr defaultColWidth="9.140625" defaultRowHeight="15" x14ac:dyDescent="0.25"/>
  <cols>
    <col min="1" max="1" width="9.28515625" style="145" customWidth="1"/>
    <col min="2" max="2" width="4.85546875" style="145" customWidth="1"/>
    <col min="3" max="3" width="33.28515625" style="145" customWidth="1"/>
    <col min="4" max="4" width="26.85546875" style="145" customWidth="1"/>
    <col min="5" max="5" width="11.42578125" style="145" customWidth="1"/>
    <col min="6" max="6" width="17.42578125" style="145" customWidth="1"/>
    <col min="7" max="7" width="33.28515625" style="145" customWidth="1"/>
    <col min="8" max="8" width="14.140625" style="145" customWidth="1"/>
    <col min="9" max="9" width="9" style="145" customWidth="1"/>
    <col min="10" max="10" width="2" style="145" customWidth="1"/>
    <col min="11" max="11" width="7.140625" style="145" customWidth="1"/>
    <col min="12" max="16384" width="9.140625" style="145"/>
  </cols>
  <sheetData>
    <row r="3" spans="1:12" x14ac:dyDescent="0.25">
      <c r="A3" s="149"/>
      <c r="B3" s="262" t="s">
        <v>75</v>
      </c>
      <c r="C3" s="263"/>
      <c r="D3" s="263"/>
      <c r="E3" s="263"/>
      <c r="F3" s="263"/>
      <c r="G3" s="263"/>
      <c r="H3" s="263"/>
      <c r="I3" s="263"/>
      <c r="J3" s="264"/>
    </row>
    <row r="4" spans="1:12" x14ac:dyDescent="0.25">
      <c r="A4" s="149"/>
      <c r="B4" s="262"/>
      <c r="C4" s="263"/>
      <c r="D4" s="263"/>
      <c r="E4" s="263"/>
      <c r="F4" s="263"/>
      <c r="G4" s="263"/>
      <c r="H4" s="263"/>
      <c r="I4" s="263"/>
      <c r="J4" s="264"/>
    </row>
    <row r="5" spans="1:12" x14ac:dyDescent="0.25">
      <c r="A5" s="149"/>
      <c r="B5" s="262"/>
      <c r="C5" s="263"/>
      <c r="D5" s="263"/>
      <c r="E5" s="263"/>
      <c r="F5" s="263"/>
      <c r="G5" s="263"/>
      <c r="H5" s="263"/>
      <c r="I5" s="263"/>
      <c r="J5" s="264"/>
    </row>
    <row r="6" spans="1:12" ht="17.25" x14ac:dyDescent="0.25">
      <c r="A6" s="149"/>
      <c r="B6" s="1"/>
      <c r="C6" s="1"/>
      <c r="D6" s="1"/>
      <c r="E6" s="1"/>
      <c r="F6" s="1"/>
      <c r="G6" s="1"/>
      <c r="H6" s="1"/>
      <c r="I6" s="1"/>
      <c r="J6" s="112"/>
      <c r="L6" s="146"/>
    </row>
    <row r="7" spans="1:12" ht="18" customHeight="1" x14ac:dyDescent="0.35">
      <c r="A7" s="149"/>
      <c r="B7" s="1"/>
      <c r="C7" s="267" t="s">
        <v>76</v>
      </c>
      <c r="D7" s="267"/>
      <c r="E7" s="1"/>
      <c r="F7" s="1"/>
      <c r="G7" s="4"/>
      <c r="H7" s="5"/>
      <c r="I7" s="5"/>
      <c r="J7" s="140"/>
      <c r="L7" s="147"/>
    </row>
    <row r="8" spans="1:12" ht="12" customHeight="1" x14ac:dyDescent="0.35">
      <c r="A8" s="149"/>
      <c r="B8" s="1"/>
      <c r="C8" s="1"/>
      <c r="D8" s="1"/>
      <c r="E8" s="1"/>
      <c r="F8" s="1"/>
      <c r="G8" s="3"/>
      <c r="H8" s="3"/>
      <c r="I8" s="3"/>
      <c r="J8" s="141"/>
      <c r="L8" s="147"/>
    </row>
    <row r="9" spans="1:12" ht="22.5" customHeight="1" thickBot="1" x14ac:dyDescent="0.4">
      <c r="A9" s="149"/>
      <c r="B9" s="1"/>
      <c r="C9" s="63" t="s">
        <v>77</v>
      </c>
      <c r="D9" s="101"/>
      <c r="E9" s="1"/>
      <c r="F9" s="1"/>
      <c r="G9" s="1"/>
      <c r="H9" s="74"/>
      <c r="I9" s="3"/>
      <c r="J9" s="141"/>
      <c r="L9" s="147"/>
    </row>
    <row r="10" spans="1:12" ht="21" customHeight="1" thickBot="1" x14ac:dyDescent="0.4">
      <c r="A10" s="149"/>
      <c r="B10" s="1"/>
      <c r="C10" s="62" t="s">
        <v>78</v>
      </c>
      <c r="D10" s="102">
        <v>2.4</v>
      </c>
      <c r="E10" s="6"/>
      <c r="F10" s="6"/>
      <c r="G10" s="266" t="str">
        <f>IFERROR(IF(AND($D$9&lt;DATE(2025,1,1),OR((VLOOKUP($D$14,Lookups!$C$8:$G$88,2,FALSE))&gt;(VLOOKUP($D$14,Lookups!$C$8:$G$88,4,FALSE)),(VLOOKUP($D$14,Lookups!$C$8:$G$88,3,FALSE))&gt;(VLOOKUP($D$14,Lookups!$C$8:$G$88,5,FALSE)))),"A nutrient permit is changing for the selected WwTW as of 01/01/2025. Therefore, two nutrient budgets will be calculated for the loading before and after the 2025 WwTW permit upgrade.",""),"")</f>
        <v/>
      </c>
      <c r="H10" s="74"/>
      <c r="I10" s="3"/>
      <c r="J10" s="141"/>
      <c r="K10" s="146"/>
      <c r="L10" s="148"/>
    </row>
    <row r="11" spans="1:12" ht="30.75" customHeight="1" thickBot="1" x14ac:dyDescent="0.3">
      <c r="A11" s="149"/>
      <c r="B11" s="1"/>
      <c r="C11" s="62" t="s">
        <v>79</v>
      </c>
      <c r="D11" s="103">
        <v>120</v>
      </c>
      <c r="E11" s="7"/>
      <c r="F11" s="7"/>
      <c r="G11" s="266"/>
      <c r="H11" s="74"/>
      <c r="I11" s="7"/>
      <c r="J11" s="134"/>
      <c r="K11" s="147"/>
      <c r="L11" s="148"/>
    </row>
    <row r="12" spans="1:12" ht="36" customHeight="1" thickBot="1" x14ac:dyDescent="0.3">
      <c r="A12" s="149"/>
      <c r="B12" s="1"/>
      <c r="C12" s="62" t="s">
        <v>80</v>
      </c>
      <c r="D12" s="104"/>
      <c r="E12" s="8"/>
      <c r="F12" s="8"/>
      <c r="G12" s="266"/>
      <c r="H12" s="74"/>
      <c r="I12" s="8"/>
      <c r="J12" s="136"/>
      <c r="K12" s="148"/>
    </row>
    <row r="13" spans="1:12" ht="36" customHeight="1" thickBot="1" x14ac:dyDescent="0.3">
      <c r="A13" s="149"/>
      <c r="B13" s="1"/>
      <c r="C13" s="62" t="s">
        <v>330</v>
      </c>
      <c r="D13" s="104"/>
      <c r="E13" s="8"/>
      <c r="F13" s="8"/>
      <c r="G13" s="266"/>
      <c r="H13" s="74"/>
      <c r="I13" s="8"/>
      <c r="J13" s="136"/>
      <c r="K13" s="148"/>
    </row>
    <row r="14" spans="1:12" ht="50.25" customHeight="1" thickBot="1" x14ac:dyDescent="0.3">
      <c r="A14" s="149"/>
      <c r="B14" s="1"/>
      <c r="C14" s="64" t="s">
        <v>81</v>
      </c>
      <c r="D14" s="105"/>
      <c r="E14" s="8"/>
      <c r="F14" s="1"/>
      <c r="G14" s="266"/>
      <c r="H14" s="74"/>
      <c r="I14" s="8"/>
      <c r="J14" s="136"/>
      <c r="K14" s="148"/>
    </row>
    <row r="15" spans="1:12" ht="50.25" hidden="1" customHeight="1" thickBot="1" x14ac:dyDescent="0.3">
      <c r="A15" s="149"/>
      <c r="B15" s="1"/>
      <c r="C15" s="15" t="s">
        <v>83</v>
      </c>
      <c r="D15" s="72" t="str">
        <f>(IFERROR(IF(OR(D14="Package Treatment Plant user defined",D14="Septic Tank user defined"),"Please enter value in cell to the right:",IF('Stage 1'!D9&lt;DATE(2025,1,1),VLOOKUP('Stage 1'!D14,Lookups!C8:G91,2,FALSE),VLOOKUP('Stage 1'!D14,Lookups!C8:G90,4,FALSE))),""))</f>
        <v/>
      </c>
      <c r="E15" s="106"/>
      <c r="F15" s="75" t="str">
        <f>IFERROR(IF(AND($D$9&lt;DATE(2025,1,1),(VLOOKUP($D$14,Lookups!$C$8:$G$88,2,FALSE))&gt;(VLOOKUP($D$14,Lookups!$C$8:$G$88,4,FALSE))), "Post 2025 WwTW P permit:",""),"")</f>
        <v/>
      </c>
      <c r="G15" s="77" t="str">
        <f>IFERROR(IF(AND($D$9&lt;DATE(2025,1,1),(VLOOKUP($D$14,Lookups!$C$8:$G$88,2,FALSE))&gt;(VLOOKUP($D$14,Lookups!$C$8:$G$88,4,FALSE))), VLOOKUP('Stage 1'!D14,Lookups!C8:G91,4,FALSE),""),"")</f>
        <v/>
      </c>
      <c r="H15" s="25" t="str">
        <f>IFERROR(IF(AND($D$9&lt;DATE(2025,1,1),(VLOOKUP($D$14,Lookups!$C$8:$G$88,2,FALSE))&gt;(VLOOKUP($D$14,Lookups!$C$8:$G$88,4,FALSE))), "mg TP/litre",""),"")</f>
        <v/>
      </c>
      <c r="I15" s="8"/>
      <c r="J15" s="112"/>
      <c r="K15" s="148"/>
    </row>
    <row r="16" spans="1:12" ht="50.25" customHeight="1" x14ac:dyDescent="0.25">
      <c r="A16" s="149"/>
      <c r="B16" s="1"/>
      <c r="C16" s="61" t="s">
        <v>84</v>
      </c>
      <c r="D16" s="73" t="str">
        <f>IFERROR(IF(OR(D14="Package Treatment Plant user defined",D14="Septic Tank user defined"),"Please enter value in cell to the right:",IF(AND('Stage 1'!D9&lt;DATE(2025,1,1),D13="Yes"),VLOOKUP('Stage 1'!D14,Lookups!$C$8:$G$91,2,FALSE),IF(AND('Stage 1'!D9&lt;DATE(2025,1,1),D13="No"),VLOOKUP('Stage 1'!D14,Lookups!$C$8:$G$91,3,FALSE),IF(AND('Stage 1'!D9&gt;=DATE(2025,1,1),D13="Yes"),VLOOKUP('Stage 1'!D14,Lookups!$C$8:$G$91,4,FALSE),VLOOKUP('Stage 1'!D14,Lookups!$C$8:$G$91,5,FALSE))))),"")</f>
        <v/>
      </c>
      <c r="E16" s="106"/>
      <c r="F16" s="76" t="str">
        <f>IFERROR(IF(AND($D$9&lt;DATE(2025,1,1),(VLOOKUP($D$14,Lookups!$C$8:$G$88,3,FALSE))&gt;(VLOOKUP($D$14,Lookups!$C$8:$G$88,5,FALSE))), "Post 2025 WwTW N permit:",""),"")</f>
        <v/>
      </c>
      <c r="G16" s="77" t="str">
        <f>IFERROR(IF(AND($D$9&lt;DATE(2025,1,1),(VLOOKUP($D$14,Lookups!$C$8:$G$88,3,FALSE))&gt;(VLOOKUP($D$14,Lookups!$C$8:$G$88,5,FALSE))), VLOOKUP('Stage 1'!D14,Lookups!$C$8:$G$91,5,FALSE),""),"")</f>
        <v/>
      </c>
      <c r="H16" s="25" t="str">
        <f>IFERROR(IF(AND($D$9&lt;DATE(2025,1,1),(VLOOKUP($D$14,Lookups!$C$8:$G$88,3,FALSE))&gt;(VLOOKUP($D$14,Lookups!$C$8:$G$88,5,FALSE))), "mg TN/litre",""),"")</f>
        <v/>
      </c>
      <c r="I16" s="8"/>
      <c r="J16" s="136"/>
      <c r="K16" s="148"/>
    </row>
    <row r="17" spans="1:14" ht="18" customHeight="1" x14ac:dyDescent="0.25">
      <c r="A17" s="149"/>
      <c r="B17" s="1"/>
      <c r="C17" s="1"/>
      <c r="D17" s="1"/>
      <c r="E17" s="1"/>
      <c r="F17" s="1"/>
      <c r="G17" s="1"/>
      <c r="H17" s="1"/>
      <c r="I17" s="1"/>
      <c r="J17" s="112"/>
    </row>
    <row r="18" spans="1:14" ht="18" x14ac:dyDescent="0.25">
      <c r="A18" s="149"/>
      <c r="B18" s="1"/>
      <c r="C18" s="267" t="s">
        <v>85</v>
      </c>
      <c r="D18" s="267"/>
      <c r="E18" s="1"/>
      <c r="F18" s="1"/>
      <c r="G18" s="1"/>
      <c r="H18" s="1"/>
      <c r="I18" s="1"/>
      <c r="J18" s="112"/>
    </row>
    <row r="19" spans="1:14" hidden="1" x14ac:dyDescent="0.25">
      <c r="A19" s="149"/>
      <c r="B19" s="1"/>
      <c r="C19" s="1"/>
      <c r="D19" s="1"/>
      <c r="E19" s="1"/>
      <c r="F19" s="1"/>
      <c r="G19" s="1"/>
      <c r="H19" s="1"/>
      <c r="I19" s="1"/>
      <c r="J19" s="142"/>
    </row>
    <row r="20" spans="1:14" ht="3.75" customHeight="1" x14ac:dyDescent="0.25">
      <c r="A20" s="149"/>
      <c r="B20" s="1"/>
      <c r="C20" s="1"/>
      <c r="D20" s="1"/>
      <c r="E20" s="1"/>
      <c r="F20" s="1"/>
      <c r="G20" s="1"/>
      <c r="H20" s="1"/>
      <c r="I20" s="1"/>
      <c r="J20" s="142"/>
      <c r="N20" s="145" t="s">
        <v>86</v>
      </c>
    </row>
    <row r="21" spans="1:14" ht="17.25" x14ac:dyDescent="0.3">
      <c r="A21" s="149"/>
      <c r="B21" s="1"/>
      <c r="C21" s="265" t="str">
        <f>IFERROR(IF(AND($D$9&lt;DATE(2025,1,1),OR((VLOOKUP($D$14,Lookups!$C$8:$G$88,2,FALSE))&gt;(VLOOKUP($D$14,Lookups!$C$8:$G$88,4,FALSE)),(VLOOKUP($D$14,Lookups!$C$8:$G$88,3,FALSE))&gt;(VLOOKUP($D$14,Lookups!$C$8:$G$88,5,FALSE)))),"Post-2025 Stage 1 Nutrient Loading","Stage 1 Nutrient Loading"),"")</f>
        <v/>
      </c>
      <c r="D21" s="265"/>
      <c r="E21" s="1"/>
      <c r="F21" s="1"/>
      <c r="G21" s="265" t="str">
        <f>IFERROR(IF(AND($D$9&lt;DATE(2025,1,1),OR((VLOOKUP($D$14,Lookups!$C$8:$G$88,2,FALSE))&gt;(VLOOKUP($D$14,Lookups!$C$8:$G$88,4,FALSE)),(VLOOKUP($D$14,Lookups!$C$8:$G$88,3,FALSE))&gt;(VLOOKUP($D$14,Lookups!$C$8:$G$88,5,FALSE)))),"Pre-2025 Stage 1 Nutrient Loading",""),"")</f>
        <v/>
      </c>
      <c r="H21" s="265"/>
      <c r="I21" s="1"/>
      <c r="J21" s="112"/>
    </row>
    <row r="22" spans="1:14" hidden="1" x14ac:dyDescent="0.25">
      <c r="A22" s="149"/>
      <c r="B22" s="1"/>
      <c r="C22" s="1"/>
      <c r="D22" s="1"/>
      <c r="E22" s="1"/>
      <c r="F22" s="1"/>
      <c r="G22" s="1"/>
      <c r="H22" s="1"/>
      <c r="I22" s="1"/>
      <c r="J22" s="142"/>
    </row>
    <row r="23" spans="1:14" ht="17.25" thickBot="1" x14ac:dyDescent="0.35">
      <c r="A23" s="149"/>
      <c r="B23" s="1"/>
      <c r="C23" s="52" t="s">
        <v>87</v>
      </c>
      <c r="D23" s="53" t="str">
        <f>IF(ISBLANK(D12),"",D10*D12)</f>
        <v/>
      </c>
      <c r="E23" s="27" t="s">
        <v>88</v>
      </c>
      <c r="F23" s="1"/>
      <c r="G23" s="19" t="str">
        <f>IFERROR(IF(AND($D$9&lt;DATE(2025,1,1),OR((VLOOKUP($D$14,Lookups!$C$8:$G$88,2,FALSE))&gt;(VLOOKUP($D$14,Lookups!$C$8:$G$88,4,FALSE)),(VLOOKUP($D$14,Lookups!$C$8:$G$88,3,FALSE))&gt;(VLOOKUP($D$14,Lookups!$C$8:$G$88,5,FALSE)))),"Annual wastewater TN load:",""),"")</f>
        <v/>
      </c>
      <c r="H23" s="20" t="str">
        <f>IFERROR(IF(AND($D$9&lt;DATE(2025,1,1),OR((VLOOKUP($D$14,Lookups!$C$8:$G$88,2,FALSE))&gt;(VLOOKUP($D$14,Lookups!$C$8:$G$88,4,FALSE)),(VLOOKUP($D$14,Lookups!$C$8:$G$88,3,FALSE))&gt;(VLOOKUP($D$14,Lookups!$C$8:$G$88,5,FALSE)))),IF(D16=25,(D16*D$24)/1000000*365.25,(D16*D$24*0.9)/1000000*365.25),""),"")</f>
        <v/>
      </c>
      <c r="I23" s="27" t="str">
        <f>IFERROR(IF(AND($D$9&lt;DATE(2025,1,1),OR((VLOOKUP($D$14,Lookups!$C$8:$G$88,2,FALSE))&gt;(VLOOKUP($D$14,Lookups!$C$8:$G$88,4,FALSE)),(VLOOKUP($D$14,Lookups!$C$8:$G$88,3,FALSE))&gt;(VLOOKUP($D$14,Lookups!$C$8:$G$88,5,FALSE)))),"kg TN/yr",""),"")</f>
        <v/>
      </c>
      <c r="J23" s="143"/>
    </row>
    <row r="24" spans="1:14" ht="15.75" thickBot="1" x14ac:dyDescent="0.3">
      <c r="A24" s="149"/>
      <c r="B24" s="1"/>
      <c r="C24" s="26" t="s">
        <v>89</v>
      </c>
      <c r="D24" s="51" t="str">
        <f>IFERROR(D23*D11,"")</f>
        <v/>
      </c>
      <c r="E24" s="27" t="s">
        <v>90</v>
      </c>
      <c r="F24" s="1"/>
      <c r="G24" s="211"/>
      <c r="H24" s="211"/>
      <c r="I24" s="211"/>
      <c r="J24" s="112"/>
    </row>
    <row r="25" spans="1:14" hidden="1" x14ac:dyDescent="0.25">
      <c r="A25" s="149"/>
      <c r="B25" s="1"/>
      <c r="C25" s="1"/>
      <c r="D25" s="1"/>
      <c r="E25" s="78"/>
      <c r="F25" s="1"/>
      <c r="G25" s="1"/>
      <c r="H25" s="1"/>
      <c r="I25" s="78"/>
      <c r="J25" s="112"/>
    </row>
    <row r="26" spans="1:14" hidden="1" x14ac:dyDescent="0.25">
      <c r="A26" s="149"/>
      <c r="B26" s="1"/>
      <c r="C26" s="1"/>
      <c r="D26" s="1"/>
      <c r="E26" s="78"/>
      <c r="F26" s="1"/>
      <c r="G26" s="81"/>
      <c r="H26" s="81"/>
      <c r="I26" s="82"/>
      <c r="J26" s="144"/>
    </row>
    <row r="27" spans="1:14" ht="15.75" hidden="1" thickBot="1" x14ac:dyDescent="0.3">
      <c r="A27" s="149"/>
      <c r="B27" s="1"/>
      <c r="C27" s="52" t="s">
        <v>91</v>
      </c>
      <c r="D27" s="53" t="str">
        <f>IFERROR(IF(ISNUMBER(G15),G15*D24*0.9,IF(D15="Please enter value in cell to the right:",IF(AND(D15="Please enter value in cell to the right:",ISNUMBER(E15)),D24*E15, VLOOKUP((LEFT(D14,(LEN(D14)-13))&amp;" default"),Lookups!C87:E88,2,FALSE)*D24),IF(OR(D14="Package Treatment Plant default",D14="Septic Tank default"),D15*D24,IF(D15=8,D15*D24,D15*D24*0.9)))),"")</f>
        <v/>
      </c>
      <c r="E27" s="27" t="s">
        <v>92</v>
      </c>
      <c r="F27" s="1"/>
      <c r="G27" s="83"/>
      <c r="H27" s="81"/>
      <c r="I27" s="81"/>
      <c r="J27" s="144"/>
    </row>
    <row r="28" spans="1:14" ht="15.75" hidden="1" thickBot="1" x14ac:dyDescent="0.3">
      <c r="A28" s="149"/>
      <c r="B28" s="1"/>
      <c r="C28" s="26" t="s">
        <v>93</v>
      </c>
      <c r="D28" s="51" t="str">
        <f>IFERROR($D$27/1000000,"")</f>
        <v/>
      </c>
      <c r="E28" s="27" t="s">
        <v>94</v>
      </c>
      <c r="F28" s="1"/>
      <c r="G28" s="83"/>
      <c r="H28" s="87"/>
      <c r="I28" s="84"/>
      <c r="J28" s="144"/>
    </row>
    <row r="29" spans="1:14" ht="15.75" hidden="1" thickBot="1" x14ac:dyDescent="0.3">
      <c r="A29" s="149"/>
      <c r="B29" s="1"/>
      <c r="C29" s="54" t="s">
        <v>95</v>
      </c>
      <c r="D29" s="56" t="str">
        <f>IFERROR($D$28*365.25,"")</f>
        <v/>
      </c>
      <c r="E29" s="27" t="s">
        <v>96</v>
      </c>
      <c r="F29" s="1"/>
      <c r="G29" s="83"/>
      <c r="H29" s="88"/>
      <c r="I29" s="84"/>
      <c r="J29" s="144"/>
    </row>
    <row r="30" spans="1:14" hidden="1" x14ac:dyDescent="0.25">
      <c r="A30" s="149"/>
      <c r="B30" s="1"/>
      <c r="C30" s="55" t="s">
        <v>97</v>
      </c>
      <c r="D30" s="57" t="str">
        <f>D29</f>
        <v/>
      </c>
      <c r="E30" s="79" t="s">
        <v>96</v>
      </c>
      <c r="F30" s="1"/>
      <c r="G30" s="85"/>
      <c r="H30" s="89"/>
      <c r="I30" s="86"/>
      <c r="J30" s="144"/>
    </row>
    <row r="31" spans="1:14" hidden="1" x14ac:dyDescent="0.25">
      <c r="A31" s="149"/>
      <c r="B31" s="1"/>
      <c r="C31" s="1"/>
      <c r="D31" s="1"/>
      <c r="E31" s="78"/>
      <c r="F31" s="1"/>
      <c r="G31" s="81"/>
      <c r="H31" s="81"/>
      <c r="I31" s="82"/>
      <c r="J31" s="144"/>
    </row>
    <row r="32" spans="1:14" hidden="1" x14ac:dyDescent="0.25">
      <c r="A32" s="149"/>
      <c r="B32" s="1"/>
      <c r="C32" s="1"/>
      <c r="D32" s="1"/>
      <c r="E32" s="78"/>
      <c r="F32" s="1"/>
      <c r="G32" s="81"/>
      <c r="H32" s="81"/>
      <c r="I32" s="82"/>
      <c r="J32" s="144"/>
    </row>
    <row r="33" spans="1:10" ht="15.75" hidden="1" thickBot="1" x14ac:dyDescent="0.3">
      <c r="A33" s="149"/>
      <c r="B33" s="1"/>
      <c r="C33" s="26" t="s">
        <v>98</v>
      </c>
      <c r="D33" s="51" t="str">
        <f>IFERROR(IF(ISNUMBER(G16),G16*D24*0.9,IF(D16="Please enter value in cell to the right:",IF(AND(D16="Please enter value in cell to the right:",ISNUMBER(E16)),D24*(IF(E16-2&lt;0,E16,E16-2)), VLOOKUP((LEFT(D14,(LEN(D14)-13))&amp;" default"),Lookups!C87:E88,3,FALSE)*D24),IF(OR(D14="Package Treatment Plant default",D14="Septic Tank default"),D16*D24,IF(VLOOKUP(D14,Lookups!$C$8:$G$85,3,FALSE)=27,D16*D24,D16*D24*0.9)))),"")</f>
        <v/>
      </c>
      <c r="E33" s="27" t="s">
        <v>99</v>
      </c>
      <c r="F33" s="1"/>
      <c r="G33" s="83"/>
      <c r="H33" s="87"/>
      <c r="I33" s="84"/>
      <c r="J33" s="144"/>
    </row>
    <row r="34" spans="1:10" ht="15.75" hidden="1" thickBot="1" x14ac:dyDescent="0.3">
      <c r="A34" s="149"/>
      <c r="B34" s="1"/>
      <c r="C34" s="58" t="s">
        <v>100</v>
      </c>
      <c r="D34" s="59" t="str">
        <f>IFERROR($D$33/1000000,"")</f>
        <v/>
      </c>
      <c r="E34" s="27" t="s">
        <v>101</v>
      </c>
      <c r="F34" s="1"/>
      <c r="G34" s="83"/>
      <c r="H34" s="87"/>
      <c r="I34" s="84"/>
      <c r="J34" s="144"/>
    </row>
    <row r="35" spans="1:10" ht="15.75" hidden="1" thickBot="1" x14ac:dyDescent="0.3">
      <c r="A35" s="149"/>
      <c r="B35" s="1"/>
      <c r="C35" s="58" t="s">
        <v>102</v>
      </c>
      <c r="D35" s="60" t="str">
        <f>IFERROR($D$34*365.25,"")</f>
        <v/>
      </c>
      <c r="E35" s="27" t="s">
        <v>103</v>
      </c>
      <c r="F35" s="1"/>
      <c r="G35" s="83"/>
      <c r="H35" s="88"/>
      <c r="I35" s="84"/>
      <c r="J35" s="144"/>
    </row>
    <row r="36" spans="1:10" x14ac:dyDescent="0.25">
      <c r="A36" s="149"/>
      <c r="B36" s="1"/>
      <c r="C36" s="55" t="s">
        <v>104</v>
      </c>
      <c r="D36" s="57" t="str">
        <f>D35</f>
        <v/>
      </c>
      <c r="E36" s="79" t="s">
        <v>103</v>
      </c>
      <c r="F36" s="1"/>
      <c r="G36" s="85"/>
      <c r="H36" s="89"/>
      <c r="I36" s="86"/>
      <c r="J36" s="144"/>
    </row>
    <row r="37" spans="1:10" ht="15.75" thickBot="1" x14ac:dyDescent="0.3">
      <c r="A37" s="149"/>
      <c r="B37" s="137"/>
      <c r="C37" s="125"/>
      <c r="D37" s="125"/>
      <c r="E37" s="125"/>
      <c r="F37" s="125"/>
      <c r="G37" s="125"/>
      <c r="H37" s="125"/>
      <c r="I37" s="125"/>
      <c r="J37" s="126"/>
    </row>
    <row r="38" spans="1:10" ht="15.75" thickTop="1" x14ac:dyDescent="0.25"/>
  </sheetData>
  <sheetProtection algorithmName="SHA-512" hashValue="2xQ4Wg89LPXyTyq2KjFQvI5ZZY1dRGg4dctJPYn7RbQ+4ewVNcl1tBZng3UeUjZyyvZYIY4+Ohovu8yi7PYdLw==" saltValue="163FHMBypVmRRyaBjT2JQA==" spinCount="100000" sheet="1" selectLockedCells="1"/>
  <protectedRanges>
    <protectedRange algorithmName="SHA-512" hashValue="9eFLYwbQxhpezS4HULhG7iBaGmH5LoseTU2XnhelcWF+/l82pYUC3srt3byn/vuneXy5XFyZVPQbagh6SLqRzQ==" saltValue="CEix3VmL8kRrd4op8qAhjg==" spinCount="100000" sqref="E15:E16 D9:D14" name="Range1"/>
  </protectedRanges>
  <mergeCells count="6">
    <mergeCell ref="B3:J5"/>
    <mergeCell ref="C21:D21"/>
    <mergeCell ref="G21:H21"/>
    <mergeCell ref="G10:G14"/>
    <mergeCell ref="C18:D18"/>
    <mergeCell ref="C7:D7"/>
  </mergeCells>
  <conditionalFormatting sqref="E15:E16">
    <cfRule type="expression" dxfId="9" priority="10">
      <formula>OR(ISNUMBER($D$16),ISBLANK($D$14))</formula>
    </cfRule>
    <cfRule type="expression" dxfId="8" priority="11">
      <formula>($D$16="Please enter value in cell to the right:")</formula>
    </cfRule>
  </conditionalFormatting>
  <conditionalFormatting sqref="G15">
    <cfRule type="expression" dxfId="7" priority="5">
      <formula>ISNUMBER($G$15)</formula>
    </cfRule>
  </conditionalFormatting>
  <conditionalFormatting sqref="G10 H9:H16">
    <cfRule type="expression" dxfId="6" priority="12">
      <formula>_xlfn.ISFORMULA($G$10)</formula>
    </cfRule>
    <cfRule type="expression" dxfId="5" priority="13">
      <formula>ISTEXT($G$10)</formula>
    </cfRule>
  </conditionalFormatting>
  <conditionalFormatting sqref="G16">
    <cfRule type="expression" dxfId="4" priority="4">
      <formula>ISNUMBER($G$16)</formula>
    </cfRule>
  </conditionalFormatting>
  <conditionalFormatting sqref="H23">
    <cfRule type="expression" dxfId="3" priority="1">
      <formula>ISNUMBER(H23)</formula>
    </cfRule>
  </conditionalFormatting>
  <dataValidations xWindow="531" yWindow="426" count="4">
    <dataValidation type="date" operator="greaterThan" allowBlank="1" showInputMessage="1" showErrorMessage="1" errorTitle="Date Error" error="Please enter a date after 01/01/2022 date in correct dd/mm/yyyy format." prompt="Enter date as dd/mm/yyyy format. " sqref="D9" xr:uid="{515E4566-AFB5-4866-94DE-CB431AAF4C1A}">
      <formula1>44562</formula1>
    </dataValidation>
    <dataValidation type="decimal" operator="greaterThan" showInputMessage="1" showErrorMessage="1" prompt="The average occupancy rate (people per dwelling/units) should not be edited unless there is sufficient evidence." sqref="D10" xr:uid="{31DEF3BB-E2E5-4E5C-BF5A-2425D3EB9410}">
      <formula1>0</formula1>
    </dataValidation>
    <dataValidation type="whole" operator="greaterThan" showInputMessage="1" showErrorMessage="1" errorTitle="Water usage:" error="Please enter a whole number in litres/person/day" prompt="Keep as 120 unless other efficiency measures are used. " sqref="D11" xr:uid="{A8EA6526-60C6-4C2D-9A44-9CEB14D43876}">
      <formula1>0</formula1>
    </dataValidation>
    <dataValidation type="whole" operator="greaterThan" allowBlank="1" showInputMessage="1" showErrorMessage="1" errorTitle="Development proposal" error="Please ensure that the total number of dwellings is entered as a whole number" prompt="Please enter the total number of dwellings/units that will be within the development site as of the project completion date." sqref="D12" xr:uid="{87F490E9-C1CC-4992-A666-0F3B65B428BF}">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531" yWindow="426" count="3">
        <x14:dataValidation type="list" allowBlank="1" showInputMessage="1" showErrorMessage="1" xr:uid="{76E0497B-089C-459A-B2E2-C8A2AF71C14C}">
          <x14:formula1>
            <xm:f>'C:\Users\DS56\OneDrive - Ricardo Plc\NE NN\[Copy of Herefordshire Council Phosphate Budget Calculator_Final.xlsx]Stage 2 and 3 lookups'!#REF!</xm:f>
          </x14:formula1>
          <xm:sqref>J8:J10</xm:sqref>
        </x14:dataValidation>
        <x14:dataValidation type="list" allowBlank="1" showInputMessage="1" showErrorMessage="1" xr:uid="{2060F248-1654-4F8C-B1B2-CB874E476D6E}">
          <x14:formula1>
            <xm:f>Lookups!$C$8:$C$90</xm:f>
          </x14:formula1>
          <xm:sqref>D14</xm:sqref>
        </x14:dataValidation>
        <x14:dataValidation type="list" operator="greaterThan" allowBlank="1" showInputMessage="1" prompt="Please edit if the catchment does not have a deductible acceptable loading. _x000a_" xr:uid="{B26EC6A3-FA93-46C7-8A29-721820FA61AF}">
          <x14:formula1>
            <xm:f>Lookups!C670:C671</xm:f>
          </x14:formula1>
          <xm:sqref>D13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8DE7-889B-4390-AD2D-86928A13748B}">
  <dimension ref="A3:K34"/>
  <sheetViews>
    <sheetView showRowColHeaders="0" zoomScaleNormal="100" workbookViewId="0">
      <selection activeCell="E10" sqref="E10"/>
    </sheetView>
  </sheetViews>
  <sheetFormatPr defaultColWidth="9.140625" defaultRowHeight="15" x14ac:dyDescent="0.25"/>
  <cols>
    <col min="1" max="1" width="9.140625" style="127"/>
    <col min="2" max="2" width="4.7109375" style="127" customWidth="1"/>
    <col min="3" max="3" width="32.140625" style="127" customWidth="1"/>
    <col min="4" max="4" width="8.42578125" style="127" bestFit="1" customWidth="1"/>
    <col min="5" max="5" width="21.140625" style="127" customWidth="1"/>
    <col min="6" max="6" width="17.7109375" style="127" hidden="1" customWidth="1"/>
    <col min="7" max="7" width="120.5703125" style="127" customWidth="1"/>
    <col min="8" max="8" width="1.5703125" style="127" customWidth="1"/>
    <col min="9" max="9" width="8.140625" style="127" customWidth="1"/>
    <col min="10" max="10" width="9.140625" style="127" customWidth="1"/>
    <col min="11" max="11" width="26.140625" style="127" customWidth="1"/>
    <col min="12" max="16384" width="9.140625" style="127"/>
  </cols>
  <sheetData>
    <row r="3" spans="1:11" ht="15" customHeight="1" x14ac:dyDescent="0.25">
      <c r="A3" s="128"/>
      <c r="B3" s="262" t="s">
        <v>105</v>
      </c>
      <c r="C3" s="271"/>
      <c r="D3" s="271"/>
      <c r="E3" s="271"/>
      <c r="F3" s="271"/>
      <c r="G3" s="271"/>
      <c r="H3" s="264"/>
    </row>
    <row r="4" spans="1:11" ht="15" customHeight="1" x14ac:dyDescent="0.25">
      <c r="A4" s="128"/>
      <c r="B4" s="262"/>
      <c r="C4" s="271"/>
      <c r="D4" s="271"/>
      <c r="E4" s="271"/>
      <c r="F4" s="271"/>
      <c r="G4" s="271"/>
      <c r="H4" s="264"/>
    </row>
    <row r="5" spans="1:11" ht="15" customHeight="1" x14ac:dyDescent="0.25">
      <c r="A5" s="128"/>
      <c r="B5" s="262"/>
      <c r="C5" s="271"/>
      <c r="D5" s="271"/>
      <c r="E5" s="271"/>
      <c r="F5" s="271"/>
      <c r="G5" s="271"/>
      <c r="H5" s="264"/>
    </row>
    <row r="6" spans="1:11" ht="17.25" x14ac:dyDescent="0.25">
      <c r="A6" s="128"/>
      <c r="B6" s="1"/>
      <c r="C6" s="1"/>
      <c r="D6" s="1"/>
      <c r="E6" s="1"/>
      <c r="F6" s="1"/>
      <c r="G6" s="1"/>
      <c r="H6" s="135"/>
    </row>
    <row r="7" spans="1:11" ht="18" customHeight="1" x14ac:dyDescent="0.25">
      <c r="A7" s="128"/>
      <c r="B7" s="1"/>
      <c r="C7" s="272" t="s">
        <v>76</v>
      </c>
      <c r="D7" s="272"/>
      <c r="E7" s="272"/>
      <c r="F7" s="272"/>
      <c r="G7" s="216"/>
      <c r="H7" s="134"/>
    </row>
    <row r="8" spans="1:11" ht="12" customHeight="1" x14ac:dyDescent="0.25">
      <c r="A8" s="128"/>
      <c r="B8" s="1"/>
      <c r="C8" s="1"/>
      <c r="D8" s="1"/>
      <c r="E8" s="1"/>
      <c r="F8" s="1"/>
      <c r="G8" s="1"/>
      <c r="H8" s="134"/>
    </row>
    <row r="9" spans="1:11" ht="18" thickBot="1" x14ac:dyDescent="0.3">
      <c r="A9" s="128"/>
      <c r="B9" s="1"/>
      <c r="C9" s="269" t="s">
        <v>106</v>
      </c>
      <c r="D9" s="269"/>
      <c r="E9" s="209"/>
      <c r="F9" s="1"/>
      <c r="G9" s="1"/>
      <c r="H9" s="134"/>
    </row>
    <row r="10" spans="1:11" ht="18" thickBot="1" x14ac:dyDescent="0.3">
      <c r="A10" s="128"/>
      <c r="B10" s="1"/>
      <c r="C10" s="270" t="s">
        <v>108</v>
      </c>
      <c r="D10" s="270"/>
      <c r="E10" s="96"/>
      <c r="F10" s="1"/>
      <c r="G10" s="1"/>
      <c r="H10" s="136"/>
    </row>
    <row r="11" spans="1:11" ht="18" thickBot="1" x14ac:dyDescent="0.3">
      <c r="A11" s="128"/>
      <c r="B11" s="1"/>
      <c r="C11" s="270" t="s">
        <v>110</v>
      </c>
      <c r="D11" s="270"/>
      <c r="E11" s="97"/>
      <c r="F11" s="1"/>
      <c r="G11" s="1"/>
      <c r="H11" s="136"/>
    </row>
    <row r="12" spans="1:11" x14ac:dyDescent="0.25">
      <c r="A12" s="128"/>
      <c r="B12" s="1"/>
      <c r="C12" s="268" t="s">
        <v>112</v>
      </c>
      <c r="D12" s="268"/>
      <c r="E12" s="98" t="s">
        <v>325</v>
      </c>
      <c r="F12" s="1"/>
      <c r="G12" s="1"/>
      <c r="H12" s="112"/>
    </row>
    <row r="13" spans="1:11" x14ac:dyDescent="0.25">
      <c r="A13" s="128"/>
      <c r="B13" s="1"/>
      <c r="C13" s="1"/>
      <c r="D13" s="1"/>
      <c r="E13" s="1"/>
      <c r="F13" s="1"/>
      <c r="G13" s="1"/>
      <c r="H13" s="112"/>
    </row>
    <row r="14" spans="1:11" ht="63" customHeight="1" thickBot="1" x14ac:dyDescent="0.3">
      <c r="A14" s="128"/>
      <c r="B14" s="1"/>
      <c r="C14" s="67" t="s">
        <v>114</v>
      </c>
      <c r="D14" s="68" t="s">
        <v>115</v>
      </c>
      <c r="E14" s="69" t="s">
        <v>116</v>
      </c>
      <c r="F14" s="1"/>
      <c r="G14" s="1"/>
      <c r="H14" s="112"/>
    </row>
    <row r="15" spans="1:11" x14ac:dyDescent="0.25">
      <c r="A15" s="128"/>
      <c r="B15" s="1"/>
      <c r="C15" s="217"/>
      <c r="D15" s="218"/>
      <c r="E15" s="219" t="str">
        <f>IF(OR(ISBLANK($C15),ISBLANK($D15),ISBLANK($E$10),ISBLANK($E$11)),"",IFERROR($D15*VLOOKUP((IF(OR($C15="Residential urban land",$C15="Commercial/industrial urban land",$C15="Open urban land",$C15="Greenspace",$C15="Community food growing",$C15="Woodland",$C15="Shrub", $C15="Water"), "|||"&amp;$C15, (VLOOKUP('Stage 2'!$E$9,Lookups!$C$648:$D$656,2,FALSE)&amp;"|"&amp;$C15&amp;"|"&amp;VLOOKUP('Stage 2'!$E$12,Lookups!$C$670:$D$671,2,FALSE)&amp;"|"&amp;VLOOKUP('Stage 2'!$E$11,Lookups!$C$622:$E$644,3,FALSE)&amp;"|"&amp;VLOOKUP($E$10,Lookups!$C$661:$D$666,2,FALSE)))),Lookups!$H$94:$J$618,3,FALSE),
IFERROR(IFERROR($D15*VLOOKUP(VLOOKUP($E$9,Lookups!$C$648:$E$656,3,FALSE)&amp;"|"&amp;$C15&amp;"|"&amp;VLOOKUP('Stage 2'!$E$12,Lookups!$C$670:$D$671,2,FALSE)&amp;"|"&amp;VLOOKUP('Stage 2'!$E$11,Lookups!$C$622:$E$644,3,FALSE)&amp;"|"&amp;VLOOKUP($E$10,Lookups!$C$661:$D$666,2,FALSE),Lookups!$H$355:$J$618,3,FALSE),IFERROR($D15*VLOOKUP(VLOOKUP($E$9,Lookups!$C$648:$E$656,3,FALSE)&amp;"|"&amp;$C15&amp;"|"&amp;"TRUE"&amp;"|"&amp;VLOOKUP('Stage 2'!$E$11,Lookups!$C$622:$E$644,3,FALSE)&amp;"|"&amp;VLOOKUP($E$10,Lookups!$C$661:$D$666,2,FALSE),Lookups!$H$355:$J$618,3,FALSE),$D15*VLOOKUP(VLOOKUP($E$9,Lookups!$C$648:$E$656,3,FALSE)&amp;"|"&amp;$C15&amp;"|"&amp;VLOOKUP('Stage 2'!$E$12,Lookups!$C$670:$D$671,2,FALSE)&amp;"|"&amp;VLOOKUP('Stage 2'!$E$11,Lookups!$C$622:$E$644,3,FALSE)&amp;"|"&amp;"DrainedArGr",Lookups!$H$355:$J$618,3,FALSE))),IFERROR($D15*VLOOKUP($C15&amp;"|"&amp;VLOOKUP('Stage 2'!$E$11,Lookups!$C$622:$E$644,3,FALSE),Lookups!$K$94:$M$610,3,FALSE),$D15*VLOOKUP($C15,Lookups!$D$94:$O$610,12,FALSE)))))</f>
        <v/>
      </c>
      <c r="F15" s="1"/>
      <c r="G15" s="222" t="str">
        <f>IF(
OR(ISBLANK($C15),ISBLANK($D15),ISBLANK($E$10),ISBLANK($E$9),ISBLANK($E$11)),"",IFERROR($D15*VLOOKUP((IF(
OR($C15="Residential urban land",$C15="Commercial/industrial urban land",$C15="Open urban land",$C15="Greenspace",$C15="Community food growing",$C15="Woodland",$C15="Shrub",$C15="Water"),"|||"&amp;$C15,(VLOOKUP('Stage 2'!$E$9,Lookups!$C$648:$D$656,2,FALSE)&amp;"|"&amp;$C15&amp;"|"&amp;VLOOKUP('Stage 2'!$E$12,Lookups!$C$670:$D$671,2,FALSE)&amp;"|"&amp;VLOOKUP('Stage 2'!$E$11,Lookups!$C$622:$E$644,3,FALSE)&amp;"|"&amp;VLOOKUP($E$10,Lookups!$C$661:$D$666,2,FALSE)))),Lookups!$H$94:$J$618,3,FALSE),
IFERROR($D15*VLOOKUP(VLOOKUP($E$9,Lookups!$C$648:$E$656,3,FALSE)&amp;"|"&amp;$C15&amp;"|"&amp;VLOOKUP('Stage 2'!$E$12,Lookups!$C$670:$D$671,2,FALSE)&amp;"|"&amp;VLOOKUP('Stage 2'!$E$11,Lookups!$C$622:$E$644,3,FALSE)&amp;"|"&amp;VLOOKUP($E$10,Lookups!$C$661:$D$666,2,FALSE),Lookups!$H$355:$J$618,3,FALSE),"In the absence of real world data, this figure has been generated using the most relevant average nutrient reduction coefficient.")))</f>
        <v/>
      </c>
      <c r="H15" s="150"/>
      <c r="I15" s="151"/>
      <c r="J15" s="151"/>
      <c r="K15" s="151"/>
    </row>
    <row r="16" spans="1:11" x14ac:dyDescent="0.25">
      <c r="A16" s="128"/>
      <c r="B16" s="1"/>
      <c r="C16" s="217"/>
      <c r="D16" s="220"/>
      <c r="E16" s="219" t="str">
        <f>IF(OR(ISBLANK($C16),ISBLANK($D16),ISBLANK($E$10),ISBLANK($E$11)),"",IFERROR($D16*VLOOKUP((IF(OR($C16="Residential urban land",$C16="Commercial/industrial urban land",$C16="Open urban land",$C16="Greenspace",$C16="Community food growing",$C16="Woodland",$C16="Shrub", $C16="Water"), "|||"&amp;$C16, (VLOOKUP('Stage 2'!$E$9,Lookups!$C$648:$D$656,2,FALSE)&amp;"|"&amp;$C16&amp;"|"&amp;VLOOKUP('Stage 2'!$E$12,Lookups!$C$670:$D$671,2,FALSE)&amp;"|"&amp;VLOOKUP('Stage 2'!$E$11,Lookups!$C$622:$E$644,3,FALSE)&amp;"|"&amp;VLOOKUP($E$10,Lookups!$C$661:$D$666,2,FALSE)))),Lookups!$H$94:$J$618,3,FALSE),
IFERROR(IFERROR($D16*VLOOKUP(VLOOKUP($E$9,Lookups!$C$648:$E$656,3,FALSE)&amp;"|"&amp;$C16&amp;"|"&amp;VLOOKUP('Stage 2'!$E$12,Lookups!$C$670:$D$671,2,FALSE)&amp;"|"&amp;VLOOKUP('Stage 2'!$E$11,Lookups!$C$622:$E$644,3,FALSE)&amp;"|"&amp;VLOOKUP($E$10,Lookups!$C$661:$D$666,2,FALSE),Lookups!$H$355:$J$618,3,FALSE),IFERROR($D16*VLOOKUP(VLOOKUP($E$9,Lookups!$C$648:$E$656,3,FALSE)&amp;"|"&amp;$C16&amp;"|"&amp;"TRUE"&amp;"|"&amp;VLOOKUP('Stage 2'!$E$11,Lookups!$C$622:$E$644,3,FALSE)&amp;"|"&amp;VLOOKUP($E$10,Lookups!$C$661:$D$666,2,FALSE),Lookups!$H$355:$J$618,3,FALSE),$D16*VLOOKUP(VLOOKUP($E$9,Lookups!$C$648:$E$656,3,FALSE)&amp;"|"&amp;$C16&amp;"|"&amp;VLOOKUP('Stage 2'!$E$12,Lookups!$C$670:$D$671,2,FALSE)&amp;"|"&amp;VLOOKUP('Stage 2'!$E$11,Lookups!$C$622:$E$644,3,FALSE)&amp;"|"&amp;"DrainedArGr",Lookups!$H$355:$J$618,3,FALSE))),IFERROR($D16*VLOOKUP($C16&amp;"|"&amp;VLOOKUP('Stage 2'!$E$11,Lookups!$C$622:$E$644,3,FALSE),Lookups!$K$94:$M$610,3,FALSE),$D16*VLOOKUP($C16,Lookups!$D$94:$O$610,12,FALSE)))))</f>
        <v/>
      </c>
      <c r="F16" s="1"/>
      <c r="G16" s="222" t="str">
        <f>IF(
OR(ISBLANK($C16),ISBLANK($D16),ISBLANK($E$10),ISBLANK($E$9),ISBLANK($E$11)),"",IFERROR($D16*VLOOKUP((IF(
OR($C16="Residential urban land",$C16="Commercial/industrial urban land",$C16="Open urban land",$C16="Greenspace",$C16="Community food growing",$C16="Woodland",$C16="Shrub",$C16="Water"),"|||"&amp;$C16,(VLOOKUP('Stage 2'!$E$9,Lookups!$C$648:$D$656,2,FALSE)&amp;"|"&amp;$C16&amp;"|"&amp;VLOOKUP('Stage 2'!$E$12,Lookups!$C$670:$D$671,2,FALSE)&amp;"|"&amp;VLOOKUP('Stage 2'!$E$11,Lookups!$C$622:$E$644,3,FALSE)&amp;"|"&amp;VLOOKUP($E$10,Lookups!$C$661:$D$666,2,FALSE)))),Lookups!$H$94:$J$618,3,FALSE),
IFERROR($D16*VLOOKUP(VLOOKUP($E$9,Lookups!$C$648:$E$656,3,FALSE)&amp;"|"&amp;$C16&amp;"|"&amp;VLOOKUP('Stage 2'!$E$12,Lookups!$C$670:$D$671,2,FALSE)&amp;"|"&amp;VLOOKUP('Stage 2'!$E$11,Lookups!$C$622:$E$644,3,FALSE)&amp;"|"&amp;VLOOKUP($E$10,Lookups!$C$661:$D$666,2,FALSE),Lookups!$H$355:$J$618,3,FALSE),"In the absence of real world data, this figure has been generated using the most relevant average nutrient reduction coefficient.")))</f>
        <v/>
      </c>
      <c r="H16" s="150"/>
      <c r="I16" s="151"/>
      <c r="J16" s="151"/>
      <c r="K16" s="151"/>
    </row>
    <row r="17" spans="1:11" x14ac:dyDescent="0.25">
      <c r="A17" s="128"/>
      <c r="B17" s="1"/>
      <c r="C17" s="217"/>
      <c r="D17" s="220"/>
      <c r="E17" s="219" t="str">
        <f>IF(OR(ISBLANK($C17),ISBLANK($D17),ISBLANK($E$10),ISBLANK($E$11)),"",IFERROR($D17*VLOOKUP((IF(OR($C17="Residential urban land",$C17="Commercial/industrial urban land",$C17="Open urban land",$C17="Greenspace",$C17="Community food growing",$C17="Woodland",$C17="Shrub", $C17="Water"), "|||"&amp;$C17, (VLOOKUP('Stage 2'!$E$9,Lookups!$C$648:$D$656,2,FALSE)&amp;"|"&amp;$C17&amp;"|"&amp;VLOOKUP('Stage 2'!$E$12,Lookups!$C$670:$D$671,2,FALSE)&amp;"|"&amp;VLOOKUP('Stage 2'!$E$11,Lookups!$C$622:$E$644,3,FALSE)&amp;"|"&amp;VLOOKUP($E$10,Lookups!$C$661:$D$666,2,FALSE)))),Lookups!$H$94:$J$618,3,FALSE),
IFERROR(IFERROR($D17*VLOOKUP(VLOOKUP($E$9,Lookups!$C$648:$E$656,3,FALSE)&amp;"|"&amp;$C17&amp;"|"&amp;VLOOKUP('Stage 2'!$E$12,Lookups!$C$670:$D$671,2,FALSE)&amp;"|"&amp;VLOOKUP('Stage 2'!$E$11,Lookups!$C$622:$E$644,3,FALSE)&amp;"|"&amp;VLOOKUP($E$10,Lookups!$C$661:$D$666,2,FALSE),Lookups!$H$355:$J$618,3,FALSE),IFERROR($D17*VLOOKUP(VLOOKUP($E$9,Lookups!$C$648:$E$656,3,FALSE)&amp;"|"&amp;$C17&amp;"|"&amp;"TRUE"&amp;"|"&amp;VLOOKUP('Stage 2'!$E$11,Lookups!$C$622:$E$644,3,FALSE)&amp;"|"&amp;VLOOKUP($E$10,Lookups!$C$661:$D$666,2,FALSE),Lookups!$H$355:$J$618,3,FALSE),$D17*VLOOKUP(VLOOKUP($E$9,Lookups!$C$648:$E$656,3,FALSE)&amp;"|"&amp;$C17&amp;"|"&amp;VLOOKUP('Stage 2'!$E$12,Lookups!$C$670:$D$671,2,FALSE)&amp;"|"&amp;VLOOKUP('Stage 2'!$E$11,Lookups!$C$622:$E$644,3,FALSE)&amp;"|"&amp;"DrainedArGr",Lookups!$H$355:$J$618,3,FALSE))),IFERROR($D17*VLOOKUP($C17&amp;"|"&amp;VLOOKUP('Stage 2'!$E$11,Lookups!$C$622:$E$644,3,FALSE),Lookups!$K$94:$M$610,3,FALSE),$D17*VLOOKUP($C17,Lookups!$D$94:$O$610,12,FALSE)))))</f>
        <v/>
      </c>
      <c r="F17" s="1"/>
      <c r="G17" s="222" t="str">
        <f>IF(
OR(ISBLANK($C17),ISBLANK($D17),ISBLANK($E$10),ISBLANK($E$9),ISBLANK($E$11)),"",IFERROR($D17*VLOOKUP((IF(
OR($C17="Residential urban land",$C17="Commercial/industrial urban land",$C17="Open urban land",$C17="Greenspace",$C17="Community food growing",$C17="Woodland",$C17="Shrub",$C17="Water"),"|||"&amp;$C17,(VLOOKUP('Stage 2'!$E$9,Lookups!$C$648:$D$656,2,FALSE)&amp;"|"&amp;$C17&amp;"|"&amp;VLOOKUP('Stage 2'!$E$12,Lookups!$C$670:$D$671,2,FALSE)&amp;"|"&amp;VLOOKUP('Stage 2'!$E$11,Lookups!$C$622:$E$644,3,FALSE)&amp;"|"&amp;VLOOKUP($E$10,Lookups!$C$661:$D$666,2,FALSE)))),Lookups!$H$94:$J$618,3,FALSE),
IFERROR($D17*VLOOKUP(VLOOKUP($E$9,Lookups!$C$648:$E$656,3,FALSE)&amp;"|"&amp;$C17&amp;"|"&amp;VLOOKUP('Stage 2'!$E$12,Lookups!$C$670:$D$671,2,FALSE)&amp;"|"&amp;VLOOKUP('Stage 2'!$E$11,Lookups!$C$622:$E$644,3,FALSE)&amp;"|"&amp;VLOOKUP($E$10,Lookups!$C$661:$D$666,2,FALSE),Lookups!$H$355:$J$618,3,FALSE),"In the absence of real world data, this figure has been generated using the most relevant average nutrient reduction coefficient.")))</f>
        <v/>
      </c>
      <c r="H17" s="150"/>
      <c r="I17" s="151"/>
      <c r="J17" s="151"/>
      <c r="K17" s="151"/>
    </row>
    <row r="18" spans="1:11" x14ac:dyDescent="0.25">
      <c r="A18" s="128"/>
      <c r="B18" s="1"/>
      <c r="C18" s="217"/>
      <c r="D18" s="220"/>
      <c r="E18" s="219" t="str">
        <f>IF(OR(ISBLANK($C18),ISBLANK($D18),ISBLANK($E$10),ISBLANK($E$11)),"",IFERROR($D18*VLOOKUP((IF(OR($C18="Residential urban land",$C18="Commercial/industrial urban land",$C18="Open urban land",$C18="Greenspace",$C18="Community food growing",$C18="Woodland",$C18="Shrub", $C18="Water"), "|||"&amp;$C18, (VLOOKUP('Stage 2'!$E$9,Lookups!$C$648:$D$656,2,FALSE)&amp;"|"&amp;$C18&amp;"|"&amp;VLOOKUP('Stage 2'!$E$12,Lookups!$C$670:$D$671,2,FALSE)&amp;"|"&amp;VLOOKUP('Stage 2'!$E$11,Lookups!$C$622:$E$644,3,FALSE)&amp;"|"&amp;VLOOKUP($E$10,Lookups!$C$661:$D$666,2,FALSE)))),Lookups!$H$94:$J$618,3,FALSE),
IFERROR(IFERROR($D18*VLOOKUP(VLOOKUP($E$9,Lookups!$C$648:$E$656,3,FALSE)&amp;"|"&amp;$C18&amp;"|"&amp;VLOOKUP('Stage 2'!$E$12,Lookups!$C$670:$D$671,2,FALSE)&amp;"|"&amp;VLOOKUP('Stage 2'!$E$11,Lookups!$C$622:$E$644,3,FALSE)&amp;"|"&amp;VLOOKUP($E$10,Lookups!$C$661:$D$666,2,FALSE),Lookups!$H$355:$J$618,3,FALSE),IFERROR($D18*VLOOKUP(VLOOKUP($E$9,Lookups!$C$648:$E$656,3,FALSE)&amp;"|"&amp;$C18&amp;"|"&amp;"TRUE"&amp;"|"&amp;VLOOKUP('Stage 2'!$E$11,Lookups!$C$622:$E$644,3,FALSE)&amp;"|"&amp;VLOOKUP($E$10,Lookups!$C$661:$D$666,2,FALSE),Lookups!$H$355:$J$618,3,FALSE),$D18*VLOOKUP(VLOOKUP($E$9,Lookups!$C$648:$E$656,3,FALSE)&amp;"|"&amp;$C18&amp;"|"&amp;VLOOKUP('Stage 2'!$E$12,Lookups!$C$670:$D$671,2,FALSE)&amp;"|"&amp;VLOOKUP('Stage 2'!$E$11,Lookups!$C$622:$E$644,3,FALSE)&amp;"|"&amp;"DrainedArGr",Lookups!$H$355:$J$618,3,FALSE))),IFERROR($D18*VLOOKUP($C18&amp;"|"&amp;VLOOKUP('Stage 2'!$E$11,Lookups!$C$622:$E$644,3,FALSE),Lookups!$K$94:$M$610,3,FALSE),$D18*VLOOKUP($C18,Lookups!$D$94:$O$610,12,FALSE)))))</f>
        <v/>
      </c>
      <c r="F18" s="1"/>
      <c r="G18" s="222" t="str">
        <f>IF(
OR(ISBLANK($C18),ISBLANK($D18),ISBLANK($E$10),ISBLANK($E$9),ISBLANK($E$11)),"",IFERROR($D18*VLOOKUP((IF(
OR($C18="Residential urban land",$C18="Commercial/industrial urban land",$C18="Open urban land",$C18="Greenspace",$C18="Community food growing",$C18="Woodland",$C18="Shrub",$C18="Water"),"|||"&amp;$C18,(VLOOKUP('Stage 2'!$E$9,Lookups!$C$648:$D$656,2,FALSE)&amp;"|"&amp;$C18&amp;"|"&amp;VLOOKUP('Stage 2'!$E$12,Lookups!$C$670:$D$671,2,FALSE)&amp;"|"&amp;VLOOKUP('Stage 2'!$E$11,Lookups!$C$622:$E$644,3,FALSE)&amp;"|"&amp;VLOOKUP($E$10,Lookups!$C$661:$D$666,2,FALSE)))),Lookups!$H$94:$J$618,3,FALSE),
IFERROR($D18*VLOOKUP(VLOOKUP($E$9,Lookups!$C$648:$E$656,3,FALSE)&amp;"|"&amp;$C18&amp;"|"&amp;VLOOKUP('Stage 2'!$E$12,Lookups!$C$670:$D$671,2,FALSE)&amp;"|"&amp;VLOOKUP('Stage 2'!$E$11,Lookups!$C$622:$E$644,3,FALSE)&amp;"|"&amp;VLOOKUP($E$10,Lookups!$C$661:$D$666,2,FALSE),Lookups!$H$355:$J$618,3,FALSE),"In the absence of real world data, this figure has been generated using the most relevant average nutrient reduction coefficient.")))</f>
        <v/>
      </c>
      <c r="H18" s="150"/>
      <c r="I18" s="151"/>
      <c r="J18" s="151"/>
      <c r="K18" s="151"/>
    </row>
    <row r="19" spans="1:11" x14ac:dyDescent="0.25">
      <c r="A19" s="128"/>
      <c r="B19" s="1"/>
      <c r="C19" s="217"/>
      <c r="D19" s="220"/>
      <c r="E19" s="219" t="str">
        <f>IF(OR(ISBLANK($C19),ISBLANK($D19),ISBLANK($E$10),ISBLANK($E$11)),"",IFERROR($D19*VLOOKUP((IF(OR($C19="Residential urban land",$C19="Commercial/industrial urban land",$C19="Open urban land",$C19="Greenspace",$C19="Community food growing",$C19="Woodland",$C19="Shrub", $C19="Water"), "|||"&amp;$C19, (VLOOKUP('Stage 2'!$E$9,Lookups!$C$648:$D$656,2,FALSE)&amp;"|"&amp;$C19&amp;"|"&amp;VLOOKUP('Stage 2'!$E$12,Lookups!$C$670:$D$671,2,FALSE)&amp;"|"&amp;VLOOKUP('Stage 2'!$E$11,Lookups!$C$622:$E$644,3,FALSE)&amp;"|"&amp;VLOOKUP($E$10,Lookups!$C$661:$D$666,2,FALSE)))),Lookups!$H$94:$J$618,3,FALSE),
IFERROR(IFERROR($D19*VLOOKUP(VLOOKUP($E$9,Lookups!$C$648:$E$656,3,FALSE)&amp;"|"&amp;$C19&amp;"|"&amp;VLOOKUP('Stage 2'!$E$12,Lookups!$C$670:$D$671,2,FALSE)&amp;"|"&amp;VLOOKUP('Stage 2'!$E$11,Lookups!$C$622:$E$644,3,FALSE)&amp;"|"&amp;VLOOKUP($E$10,Lookups!$C$661:$D$666,2,FALSE),Lookups!$H$355:$J$618,3,FALSE),IFERROR($D19*VLOOKUP(VLOOKUP($E$9,Lookups!$C$648:$E$656,3,FALSE)&amp;"|"&amp;$C19&amp;"|"&amp;"TRUE"&amp;"|"&amp;VLOOKUP('Stage 2'!$E$11,Lookups!$C$622:$E$644,3,FALSE)&amp;"|"&amp;VLOOKUP($E$10,Lookups!$C$661:$D$666,2,FALSE),Lookups!$H$355:$J$618,3,FALSE),$D19*VLOOKUP(VLOOKUP($E$9,Lookups!$C$648:$E$656,3,FALSE)&amp;"|"&amp;$C19&amp;"|"&amp;VLOOKUP('Stage 2'!$E$12,Lookups!$C$670:$D$671,2,FALSE)&amp;"|"&amp;VLOOKUP('Stage 2'!$E$11,Lookups!$C$622:$E$644,3,FALSE)&amp;"|"&amp;"DrainedArGr",Lookups!$H$355:$J$618,3,FALSE))),IFERROR($D19*VLOOKUP($C19&amp;"|"&amp;VLOOKUP('Stage 2'!$E$11,Lookups!$C$622:$E$644,3,FALSE),Lookups!$K$94:$M$610,3,FALSE),$D19*VLOOKUP($C19,Lookups!$D$94:$O$610,12,FALSE)))))</f>
        <v/>
      </c>
      <c r="F19" s="1"/>
      <c r="G19" s="222" t="str">
        <f>IF(
OR(ISBLANK($C19),ISBLANK($D19),ISBLANK($E$10),ISBLANK($E$9),ISBLANK($E$11)),"",IFERROR($D19*VLOOKUP((IF(
OR($C19="Residential urban land",$C19="Commercial/industrial urban land",$C19="Open urban land",$C19="Greenspace",$C19="Community food growing",$C19="Woodland",$C19="Shrub",$C19="Water"),"|||"&amp;$C19,(VLOOKUP('Stage 2'!$E$9,Lookups!$C$648:$D$656,2,FALSE)&amp;"|"&amp;$C19&amp;"|"&amp;VLOOKUP('Stage 2'!$E$12,Lookups!$C$670:$D$671,2,FALSE)&amp;"|"&amp;VLOOKUP('Stage 2'!$E$11,Lookups!$C$622:$E$644,3,FALSE)&amp;"|"&amp;VLOOKUP($E$10,Lookups!$C$661:$D$666,2,FALSE)))),Lookups!$H$94:$J$618,3,FALSE),
IFERROR($D19*VLOOKUP(VLOOKUP($E$9,Lookups!$C$648:$E$656,3,FALSE)&amp;"|"&amp;$C19&amp;"|"&amp;VLOOKUP('Stage 2'!$E$12,Lookups!$C$670:$D$671,2,FALSE)&amp;"|"&amp;VLOOKUP('Stage 2'!$E$11,Lookups!$C$622:$E$644,3,FALSE)&amp;"|"&amp;VLOOKUP($E$10,Lookups!$C$661:$D$666,2,FALSE),Lookups!$H$355:$J$618,3,FALSE),"In the absence of real world data, this figure has been generated using the most relevant average nutrient reduction coefficient.")))</f>
        <v/>
      </c>
      <c r="H19" s="150"/>
      <c r="I19" s="151"/>
      <c r="J19" s="151"/>
      <c r="K19" s="151"/>
    </row>
    <row r="20" spans="1:11" x14ac:dyDescent="0.25">
      <c r="A20" s="128"/>
      <c r="B20" s="1"/>
      <c r="C20" s="217"/>
      <c r="D20" s="220"/>
      <c r="E20" s="219" t="str">
        <f>IF(OR(ISBLANK($C20),ISBLANK($D20),ISBLANK($E$10),ISBLANK($E$11)),"",IFERROR($D20*VLOOKUP((IF(OR($C20="Residential urban land",$C20="Commercial/industrial urban land",$C20="Open urban land",$C20="Greenspace",$C20="Community food growing",$C20="Woodland",$C20="Shrub", $C20="Water"), "|||"&amp;$C20, (VLOOKUP('Stage 2'!$E$9,Lookups!$C$648:$D$656,2,FALSE)&amp;"|"&amp;$C20&amp;"|"&amp;VLOOKUP('Stage 2'!$E$12,Lookups!$C$670:$D$671,2,FALSE)&amp;"|"&amp;VLOOKUP('Stage 2'!$E$11,Lookups!$C$622:$E$644,3,FALSE)&amp;"|"&amp;VLOOKUP($E$10,Lookups!$C$661:$D$666,2,FALSE)))),Lookups!$H$94:$J$618,3,FALSE),
IFERROR(IFERROR($D20*VLOOKUP(VLOOKUP($E$9,Lookups!$C$648:$E$656,3,FALSE)&amp;"|"&amp;$C20&amp;"|"&amp;VLOOKUP('Stage 2'!$E$12,Lookups!$C$670:$D$671,2,FALSE)&amp;"|"&amp;VLOOKUP('Stage 2'!$E$11,Lookups!$C$622:$E$644,3,FALSE)&amp;"|"&amp;VLOOKUP($E$10,Lookups!$C$661:$D$666,2,FALSE),Lookups!$H$355:$J$618,3,FALSE),IFERROR($D20*VLOOKUP(VLOOKUP($E$9,Lookups!$C$648:$E$656,3,FALSE)&amp;"|"&amp;$C20&amp;"|"&amp;"TRUE"&amp;"|"&amp;VLOOKUP('Stage 2'!$E$11,Lookups!$C$622:$E$644,3,FALSE)&amp;"|"&amp;VLOOKUP($E$10,Lookups!$C$661:$D$666,2,FALSE),Lookups!$H$355:$J$618,3,FALSE),$D20*VLOOKUP(VLOOKUP($E$9,Lookups!$C$648:$E$656,3,FALSE)&amp;"|"&amp;$C20&amp;"|"&amp;VLOOKUP('Stage 2'!$E$12,Lookups!$C$670:$D$671,2,FALSE)&amp;"|"&amp;VLOOKUP('Stage 2'!$E$11,Lookups!$C$622:$E$644,3,FALSE)&amp;"|"&amp;"DrainedArGr",Lookups!$H$355:$J$618,3,FALSE))),IFERROR($D20*VLOOKUP($C20&amp;"|"&amp;VLOOKUP('Stage 2'!$E$11,Lookups!$C$622:$E$644,3,FALSE),Lookups!$K$94:$M$610,3,FALSE),$D20*VLOOKUP($C20,Lookups!$D$94:$O$610,12,FALSE)))))</f>
        <v/>
      </c>
      <c r="F20" s="1"/>
      <c r="G20" s="222" t="str">
        <f>IF(
OR(ISBLANK($C20),ISBLANK($D20),ISBLANK($E$10),ISBLANK($E$9),ISBLANK($E$11)),"",IFERROR($D20*VLOOKUP((IF(
OR($C20="Residential urban land",$C20="Commercial/industrial urban land",$C20="Open urban land",$C20="Greenspace",$C20="Community food growing",$C20="Woodland",$C20="Shrub",$C20="Water"),"|||"&amp;$C20,(VLOOKUP('Stage 2'!$E$9,Lookups!$C$648:$D$656,2,FALSE)&amp;"|"&amp;$C20&amp;"|"&amp;VLOOKUP('Stage 2'!$E$12,Lookups!$C$670:$D$671,2,FALSE)&amp;"|"&amp;VLOOKUP('Stage 2'!$E$11,Lookups!$C$622:$E$644,3,FALSE)&amp;"|"&amp;VLOOKUP($E$10,Lookups!$C$661:$D$666,2,FALSE)))),Lookups!$H$94:$J$618,3,FALSE),
IFERROR($D20*VLOOKUP(VLOOKUP($E$9,Lookups!$C$648:$E$656,3,FALSE)&amp;"|"&amp;$C20&amp;"|"&amp;VLOOKUP('Stage 2'!$E$12,Lookups!$C$670:$D$671,2,FALSE)&amp;"|"&amp;VLOOKUP('Stage 2'!$E$11,Lookups!$C$622:$E$644,3,FALSE)&amp;"|"&amp;VLOOKUP($E$10,Lookups!$C$661:$D$666,2,FALSE),Lookups!$H$355:$J$618,3,FALSE),"In the absence of real world data, this figure has been generated using the most relevant average nutrient reduction coefficient.")))</f>
        <v/>
      </c>
      <c r="H20" s="150"/>
      <c r="I20" s="151"/>
      <c r="J20" s="151"/>
      <c r="K20" s="151"/>
    </row>
    <row r="21" spans="1:11" x14ac:dyDescent="0.25">
      <c r="A21" s="128"/>
      <c r="B21" s="1"/>
      <c r="C21" s="217"/>
      <c r="D21" s="220"/>
      <c r="E21" s="219" t="str">
        <f>IF(OR(ISBLANK($C21),ISBLANK($D21),ISBLANK($E$10),ISBLANK($E$11)),"",IFERROR($D21*VLOOKUP((IF(OR($C21="Residential urban land",$C21="Commercial/industrial urban land",$C21="Open urban land",$C21="Greenspace",$C21="Community food growing",$C21="Woodland",$C21="Shrub", $C21="Water"), "|||"&amp;$C21, (VLOOKUP('Stage 2'!$E$9,Lookups!$C$648:$D$656,2,FALSE)&amp;"|"&amp;$C21&amp;"|"&amp;VLOOKUP('Stage 2'!$E$12,Lookups!$C$670:$D$671,2,FALSE)&amp;"|"&amp;VLOOKUP('Stage 2'!$E$11,Lookups!$C$622:$E$644,3,FALSE)&amp;"|"&amp;VLOOKUP($E$10,Lookups!$C$661:$D$666,2,FALSE)))),Lookups!$H$94:$J$618,3,FALSE),
IFERROR(IFERROR($D21*VLOOKUP(VLOOKUP($E$9,Lookups!$C$648:$E$656,3,FALSE)&amp;"|"&amp;$C21&amp;"|"&amp;VLOOKUP('Stage 2'!$E$12,Lookups!$C$670:$D$671,2,FALSE)&amp;"|"&amp;VLOOKUP('Stage 2'!$E$11,Lookups!$C$622:$E$644,3,FALSE)&amp;"|"&amp;VLOOKUP($E$10,Lookups!$C$661:$D$666,2,FALSE),Lookups!$H$355:$J$618,3,FALSE),IFERROR($D21*VLOOKUP(VLOOKUP($E$9,Lookups!$C$648:$E$656,3,FALSE)&amp;"|"&amp;$C21&amp;"|"&amp;"TRUE"&amp;"|"&amp;VLOOKUP('Stage 2'!$E$11,Lookups!$C$622:$E$644,3,FALSE)&amp;"|"&amp;VLOOKUP($E$10,Lookups!$C$661:$D$666,2,FALSE),Lookups!$H$355:$J$618,3,FALSE),$D21*VLOOKUP(VLOOKUP($E$9,Lookups!$C$648:$E$656,3,FALSE)&amp;"|"&amp;$C21&amp;"|"&amp;VLOOKUP('Stage 2'!$E$12,Lookups!$C$670:$D$671,2,FALSE)&amp;"|"&amp;VLOOKUP('Stage 2'!$E$11,Lookups!$C$622:$E$644,3,FALSE)&amp;"|"&amp;"DrainedArGr",Lookups!$H$355:$J$618,3,FALSE))),IFERROR($D21*VLOOKUP($C21&amp;"|"&amp;VLOOKUP('Stage 2'!$E$11,Lookups!$C$622:$E$644,3,FALSE),Lookups!$K$94:$M$610,3,FALSE),$D21*VLOOKUP($C21,Lookups!$D$94:$O$610,12,FALSE)))))</f>
        <v/>
      </c>
      <c r="F21" s="1"/>
      <c r="G21" s="222" t="str">
        <f>IF(
OR(ISBLANK($C21),ISBLANK($D21),ISBLANK($E$10),ISBLANK($E$9),ISBLANK($E$11)),"",IFERROR($D21*VLOOKUP((IF(
OR($C21="Residential urban land",$C21="Commercial/industrial urban land",$C21="Open urban land",$C21="Greenspace",$C21="Community food growing",$C21="Woodland",$C21="Shrub",$C21="Water"),"|||"&amp;$C21,(VLOOKUP('Stage 2'!$E$9,Lookups!$C$648:$D$656,2,FALSE)&amp;"|"&amp;$C21&amp;"|"&amp;VLOOKUP('Stage 2'!$E$12,Lookups!$C$670:$D$671,2,FALSE)&amp;"|"&amp;VLOOKUP('Stage 2'!$E$11,Lookups!$C$622:$E$644,3,FALSE)&amp;"|"&amp;VLOOKUP($E$10,Lookups!$C$661:$D$666,2,FALSE)))),Lookups!$H$94:$J$618,3,FALSE),
IFERROR($D21*VLOOKUP(VLOOKUP($E$9,Lookups!$C$648:$E$656,3,FALSE)&amp;"|"&amp;$C21&amp;"|"&amp;VLOOKUP('Stage 2'!$E$12,Lookups!$C$670:$D$671,2,FALSE)&amp;"|"&amp;VLOOKUP('Stage 2'!$E$11,Lookups!$C$622:$E$644,3,FALSE)&amp;"|"&amp;VLOOKUP($E$10,Lookups!$C$661:$D$666,2,FALSE),Lookups!$H$355:$J$618,3,FALSE),"In the absence of real world data, this figure has been generated using the most relevant average nutrient reduction coefficient.")))</f>
        <v/>
      </c>
      <c r="H21" s="144"/>
    </row>
    <row r="22" spans="1:11" x14ac:dyDescent="0.25">
      <c r="A22" s="128"/>
      <c r="B22" s="1"/>
      <c r="C22" s="217"/>
      <c r="D22" s="220"/>
      <c r="E22" s="219" t="str">
        <f>IF(OR(ISBLANK($C22),ISBLANK($D22),ISBLANK($E$10),ISBLANK($E$11)),"",IFERROR($D22*VLOOKUP((IF(OR($C22="Residential urban land",$C22="Commercial/industrial urban land",$C22="Open urban land",$C22="Greenspace",$C22="Community food growing",$C22="Woodland",$C22="Shrub", $C22="Water"), "|||"&amp;$C22, (VLOOKUP('Stage 2'!$E$9,Lookups!$C$648:$D$656,2,FALSE)&amp;"|"&amp;$C22&amp;"|"&amp;VLOOKUP('Stage 2'!$E$12,Lookups!$C$670:$D$671,2,FALSE)&amp;"|"&amp;VLOOKUP('Stage 2'!$E$11,Lookups!$C$622:$E$644,3,FALSE)&amp;"|"&amp;VLOOKUP($E$10,Lookups!$C$661:$D$666,2,FALSE)))),Lookups!$H$94:$J$618,3,FALSE),
IFERROR(IFERROR($D22*VLOOKUP(VLOOKUP($E$9,Lookups!$C$648:$E$656,3,FALSE)&amp;"|"&amp;$C22&amp;"|"&amp;VLOOKUP('Stage 2'!$E$12,Lookups!$C$670:$D$671,2,FALSE)&amp;"|"&amp;VLOOKUP('Stage 2'!$E$11,Lookups!$C$622:$E$644,3,FALSE)&amp;"|"&amp;VLOOKUP($E$10,Lookups!$C$661:$D$666,2,FALSE),Lookups!$H$355:$J$618,3,FALSE),IFERROR($D22*VLOOKUP(VLOOKUP($E$9,Lookups!$C$648:$E$656,3,FALSE)&amp;"|"&amp;$C22&amp;"|"&amp;"TRUE"&amp;"|"&amp;VLOOKUP('Stage 2'!$E$11,Lookups!$C$622:$E$644,3,FALSE)&amp;"|"&amp;VLOOKUP($E$10,Lookups!$C$661:$D$666,2,FALSE),Lookups!$H$355:$J$618,3,FALSE),$D22*VLOOKUP(VLOOKUP($E$9,Lookups!$C$648:$E$656,3,FALSE)&amp;"|"&amp;$C22&amp;"|"&amp;VLOOKUP('Stage 2'!$E$12,Lookups!$C$670:$D$671,2,FALSE)&amp;"|"&amp;VLOOKUP('Stage 2'!$E$11,Lookups!$C$622:$E$644,3,FALSE)&amp;"|"&amp;"DrainedArGr",Lookups!$H$355:$J$618,3,FALSE))),IFERROR($D22*VLOOKUP($C22&amp;"|"&amp;VLOOKUP('Stage 2'!$E$11,Lookups!$C$622:$E$644,3,FALSE),Lookups!$K$94:$M$610,3,FALSE),$D22*VLOOKUP($C22,Lookups!$D$94:$O$610,12,FALSE)))))</f>
        <v/>
      </c>
      <c r="F22" s="1"/>
      <c r="G22" s="222" t="str">
        <f>IF(
OR(ISBLANK($C22),ISBLANK($D22),ISBLANK($E$10),ISBLANK($E$9),ISBLANK($E$11)),"",IFERROR($D22*VLOOKUP((IF(
OR($C22="Residential urban land",$C22="Commercial/industrial urban land",$C22="Open urban land",$C22="Greenspace",$C22="Community food growing",$C22="Woodland",$C22="Shrub",$C22="Water"),"|||"&amp;$C22,(VLOOKUP('Stage 2'!$E$9,Lookups!$C$648:$D$656,2,FALSE)&amp;"|"&amp;$C22&amp;"|"&amp;VLOOKUP('Stage 2'!$E$12,Lookups!$C$670:$D$671,2,FALSE)&amp;"|"&amp;VLOOKUP('Stage 2'!$E$11,Lookups!$C$622:$E$644,3,FALSE)&amp;"|"&amp;VLOOKUP($E$10,Lookups!$C$661:$D$666,2,FALSE)))),Lookups!$H$94:$J$618,3,FALSE),
IFERROR($D22*VLOOKUP(VLOOKUP($E$9,Lookups!$C$648:$E$656,3,FALSE)&amp;"|"&amp;$C22&amp;"|"&amp;VLOOKUP('Stage 2'!$E$12,Lookups!$C$670:$D$671,2,FALSE)&amp;"|"&amp;VLOOKUP('Stage 2'!$E$11,Lookups!$C$622:$E$644,3,FALSE)&amp;"|"&amp;VLOOKUP($E$10,Lookups!$C$661:$D$666,2,FALSE),Lookups!$H$355:$J$618,3,FALSE),"In the absence of real world data, this figure has been generated using the most relevant average nutrient reduction coefficient.")))</f>
        <v/>
      </c>
      <c r="H22" s="144"/>
    </row>
    <row r="23" spans="1:11" x14ac:dyDescent="0.25">
      <c r="A23" s="128"/>
      <c r="B23" s="1"/>
      <c r="C23" s="217"/>
      <c r="D23" s="220"/>
      <c r="E23" s="219" t="str">
        <f>IF(OR(ISBLANK($C23),ISBLANK($D23),ISBLANK($E$10),ISBLANK($E$11)),"",IFERROR($D23*VLOOKUP((IF(OR($C23="Residential urban land",$C23="Commercial/industrial urban land",$C23="Open urban land",$C23="Greenspace",$C23="Community food growing",$C23="Woodland",$C23="Shrub", $C23="Water"), "|||"&amp;$C23, (VLOOKUP('Stage 2'!$E$9,Lookups!$C$648:$D$656,2,FALSE)&amp;"|"&amp;$C23&amp;"|"&amp;VLOOKUP('Stage 2'!$E$12,Lookups!$C$670:$D$671,2,FALSE)&amp;"|"&amp;VLOOKUP('Stage 2'!$E$11,Lookups!$C$622:$E$644,3,FALSE)&amp;"|"&amp;VLOOKUP($E$10,Lookups!$C$661:$D$666,2,FALSE)))),Lookups!$H$94:$J$618,3,FALSE),
IFERROR(IFERROR($D23*VLOOKUP(VLOOKUP($E$9,Lookups!$C$648:$E$656,3,FALSE)&amp;"|"&amp;$C23&amp;"|"&amp;VLOOKUP('Stage 2'!$E$12,Lookups!$C$670:$D$671,2,FALSE)&amp;"|"&amp;VLOOKUP('Stage 2'!$E$11,Lookups!$C$622:$E$644,3,FALSE)&amp;"|"&amp;VLOOKUP($E$10,Lookups!$C$661:$D$666,2,FALSE),Lookups!$H$355:$J$618,3,FALSE),IFERROR($D23*VLOOKUP(VLOOKUP($E$9,Lookups!$C$648:$E$656,3,FALSE)&amp;"|"&amp;$C23&amp;"|"&amp;"TRUE"&amp;"|"&amp;VLOOKUP('Stage 2'!$E$11,Lookups!$C$622:$E$644,3,FALSE)&amp;"|"&amp;VLOOKUP($E$10,Lookups!$C$661:$D$666,2,FALSE),Lookups!$H$355:$J$618,3,FALSE),$D23*VLOOKUP(VLOOKUP($E$9,Lookups!$C$648:$E$656,3,FALSE)&amp;"|"&amp;$C23&amp;"|"&amp;VLOOKUP('Stage 2'!$E$12,Lookups!$C$670:$D$671,2,FALSE)&amp;"|"&amp;VLOOKUP('Stage 2'!$E$11,Lookups!$C$622:$E$644,3,FALSE)&amp;"|"&amp;"DrainedArGr",Lookups!$H$355:$J$618,3,FALSE))),IFERROR($D23*VLOOKUP($C23&amp;"|"&amp;VLOOKUP('Stage 2'!$E$11,Lookups!$C$622:$E$644,3,FALSE),Lookups!$K$94:$M$610,3,FALSE),$D23*VLOOKUP($C23,Lookups!$D$94:$O$610,12,FALSE)))))</f>
        <v/>
      </c>
      <c r="F23" s="1"/>
      <c r="G23" s="222" t="str">
        <f>IF(
OR(ISBLANK($C23),ISBLANK($D23),ISBLANK($E$10),ISBLANK($E$9),ISBLANK($E$11)),"",IFERROR($D23*VLOOKUP((IF(
OR($C23="Residential urban land",$C23="Commercial/industrial urban land",$C23="Open urban land",$C23="Greenspace",$C23="Community food growing",$C23="Woodland",$C23="Shrub",$C23="Water"),"|||"&amp;$C23,(VLOOKUP('Stage 2'!$E$9,Lookups!$C$648:$D$656,2,FALSE)&amp;"|"&amp;$C23&amp;"|"&amp;VLOOKUP('Stage 2'!$E$12,Lookups!$C$670:$D$671,2,FALSE)&amp;"|"&amp;VLOOKUP('Stage 2'!$E$11,Lookups!$C$622:$E$644,3,FALSE)&amp;"|"&amp;VLOOKUP($E$10,Lookups!$C$661:$D$666,2,FALSE)))),Lookups!$H$94:$J$618,3,FALSE),
IFERROR($D23*VLOOKUP(VLOOKUP($E$9,Lookups!$C$648:$E$656,3,FALSE)&amp;"|"&amp;$C23&amp;"|"&amp;VLOOKUP('Stage 2'!$E$12,Lookups!$C$670:$D$671,2,FALSE)&amp;"|"&amp;VLOOKUP('Stage 2'!$E$11,Lookups!$C$622:$E$644,3,FALSE)&amp;"|"&amp;VLOOKUP($E$10,Lookups!$C$661:$D$666,2,FALSE),Lookups!$H$355:$J$618,3,FALSE),"In the absence of real world data, this figure has been generated using the most relevant average nutrient reduction coefficient.")))</f>
        <v/>
      </c>
      <c r="H23" s="144"/>
    </row>
    <row r="24" spans="1:11" x14ac:dyDescent="0.25">
      <c r="A24" s="128"/>
      <c r="B24" s="1"/>
      <c r="C24" s="217"/>
      <c r="D24" s="220"/>
      <c r="E24" s="219" t="str">
        <f>IF(OR(ISBLANK($C24),ISBLANK($D24),ISBLANK($E$10),ISBLANK($E$11)),"",IFERROR($D24*VLOOKUP((IF(OR($C24="Residential urban land",$C24="Commercial/industrial urban land",$C24="Open urban land",$C24="Greenspace",$C24="Community food growing",$C24="Woodland",$C24="Shrub", $C24="Water"), "|||"&amp;$C24, (VLOOKUP('Stage 2'!$E$9,Lookups!$C$648:$D$656,2,FALSE)&amp;"|"&amp;$C24&amp;"|"&amp;VLOOKUP('Stage 2'!$E$12,Lookups!$C$670:$D$671,2,FALSE)&amp;"|"&amp;VLOOKUP('Stage 2'!$E$11,Lookups!$C$622:$E$644,3,FALSE)&amp;"|"&amp;VLOOKUP($E$10,Lookups!$C$661:$D$666,2,FALSE)))),Lookups!$H$94:$J$618,3,FALSE),
IFERROR(IFERROR($D24*VLOOKUP(VLOOKUP($E$9,Lookups!$C$648:$E$656,3,FALSE)&amp;"|"&amp;$C24&amp;"|"&amp;VLOOKUP('Stage 2'!$E$12,Lookups!$C$670:$D$671,2,FALSE)&amp;"|"&amp;VLOOKUP('Stage 2'!$E$11,Lookups!$C$622:$E$644,3,FALSE)&amp;"|"&amp;VLOOKUP($E$10,Lookups!$C$661:$D$666,2,FALSE),Lookups!$H$355:$J$618,3,FALSE),IFERROR($D24*VLOOKUP(VLOOKUP($E$9,Lookups!$C$648:$E$656,3,FALSE)&amp;"|"&amp;$C24&amp;"|"&amp;"TRUE"&amp;"|"&amp;VLOOKUP('Stage 2'!$E$11,Lookups!$C$622:$E$644,3,FALSE)&amp;"|"&amp;VLOOKUP($E$10,Lookups!$C$661:$D$666,2,FALSE),Lookups!$H$355:$J$618,3,FALSE),$D24*VLOOKUP(VLOOKUP($E$9,Lookups!$C$648:$E$656,3,FALSE)&amp;"|"&amp;$C24&amp;"|"&amp;VLOOKUP('Stage 2'!$E$12,Lookups!$C$670:$D$671,2,FALSE)&amp;"|"&amp;VLOOKUP('Stage 2'!$E$11,Lookups!$C$622:$E$644,3,FALSE)&amp;"|"&amp;"DrainedArGr",Lookups!$H$355:$J$618,3,FALSE))),IFERROR($D24*VLOOKUP($C24&amp;"|"&amp;VLOOKUP('Stage 2'!$E$11,Lookups!$C$622:$E$644,3,FALSE),Lookups!$K$94:$M$610,3,FALSE),$D24*VLOOKUP($C24,Lookups!$D$94:$O$610,12,FALSE)))))</f>
        <v/>
      </c>
      <c r="F24" s="1"/>
      <c r="G24" s="222" t="str">
        <f>IF(
OR(ISBLANK($C24),ISBLANK($D24),ISBLANK($E$10),ISBLANK($E$9),ISBLANK($E$11)),"",IFERROR($D24*VLOOKUP((IF(
OR($C24="Residential urban land",$C24="Commercial/industrial urban land",$C24="Open urban land",$C24="Greenspace",$C24="Community food growing",$C24="Woodland",$C24="Shrub",$C24="Water"),"|||"&amp;$C24,(VLOOKUP('Stage 2'!$E$9,Lookups!$C$648:$D$656,2,FALSE)&amp;"|"&amp;$C24&amp;"|"&amp;VLOOKUP('Stage 2'!$E$12,Lookups!$C$670:$D$671,2,FALSE)&amp;"|"&amp;VLOOKUP('Stage 2'!$E$11,Lookups!$C$622:$E$644,3,FALSE)&amp;"|"&amp;VLOOKUP($E$10,Lookups!$C$661:$D$666,2,FALSE)))),Lookups!$H$94:$J$618,3,FALSE),
IFERROR($D24*VLOOKUP(VLOOKUP($E$9,Lookups!$C$648:$E$656,3,FALSE)&amp;"|"&amp;$C24&amp;"|"&amp;VLOOKUP('Stage 2'!$E$12,Lookups!$C$670:$D$671,2,FALSE)&amp;"|"&amp;VLOOKUP('Stage 2'!$E$11,Lookups!$C$622:$E$644,3,FALSE)&amp;"|"&amp;VLOOKUP($E$10,Lookups!$C$661:$D$666,2,FALSE),Lookups!$H$355:$J$618,3,FALSE),"In the absence of real world data, this figure has been generated using the most relevant average nutrient reduction coefficient.")))</f>
        <v/>
      </c>
      <c r="H24" s="144"/>
    </row>
    <row r="25" spans="1:11" x14ac:dyDescent="0.25">
      <c r="A25" s="128"/>
      <c r="B25" s="1"/>
      <c r="C25" s="217"/>
      <c r="D25" s="220"/>
      <c r="E25" s="219" t="str">
        <f>IF(OR(ISBLANK($C25),ISBLANK($D25),ISBLANK($E$10),ISBLANK($E$11)),"",IFERROR($D25*VLOOKUP((IF(OR($C25="Residential urban land",$C25="Commercial/industrial urban land",$C25="Open urban land",$C25="Greenspace",$C25="Community food growing",$C25="Woodland",$C25="Shrub", $C25="Water"), "|||"&amp;$C25, (VLOOKUP('Stage 2'!$E$9,Lookups!$C$648:$D$656,2,FALSE)&amp;"|"&amp;$C25&amp;"|"&amp;VLOOKUP('Stage 2'!$E$12,Lookups!$C$670:$D$671,2,FALSE)&amp;"|"&amp;VLOOKUP('Stage 2'!$E$11,Lookups!$C$622:$E$644,3,FALSE)&amp;"|"&amp;VLOOKUP($E$10,Lookups!$C$661:$D$666,2,FALSE)))),Lookups!$H$94:$J$618,3,FALSE),
IFERROR(IFERROR($D25*VLOOKUP(VLOOKUP($E$9,Lookups!$C$648:$E$656,3,FALSE)&amp;"|"&amp;$C25&amp;"|"&amp;VLOOKUP('Stage 2'!$E$12,Lookups!$C$670:$D$671,2,FALSE)&amp;"|"&amp;VLOOKUP('Stage 2'!$E$11,Lookups!$C$622:$E$644,3,FALSE)&amp;"|"&amp;VLOOKUP($E$10,Lookups!$C$661:$D$666,2,FALSE),Lookups!$H$355:$J$618,3,FALSE),IFERROR($D25*VLOOKUP(VLOOKUP($E$9,Lookups!$C$648:$E$656,3,FALSE)&amp;"|"&amp;$C25&amp;"|"&amp;"TRUE"&amp;"|"&amp;VLOOKUP('Stage 2'!$E$11,Lookups!$C$622:$E$644,3,FALSE)&amp;"|"&amp;VLOOKUP($E$10,Lookups!$C$661:$D$666,2,FALSE),Lookups!$H$355:$J$618,3,FALSE),$D25*VLOOKUP(VLOOKUP($E$9,Lookups!$C$648:$E$656,3,FALSE)&amp;"|"&amp;$C25&amp;"|"&amp;VLOOKUP('Stage 2'!$E$12,Lookups!$C$670:$D$671,2,FALSE)&amp;"|"&amp;VLOOKUP('Stage 2'!$E$11,Lookups!$C$622:$E$644,3,FALSE)&amp;"|"&amp;"DrainedArGr",Lookups!$H$355:$J$618,3,FALSE))),IFERROR($D25*VLOOKUP($C25&amp;"|"&amp;VLOOKUP('Stage 2'!$E$11,Lookups!$C$622:$E$644,3,FALSE),Lookups!$K$94:$M$610,3,FALSE),$D25*VLOOKUP($C25,Lookups!$D$94:$O$610,12,FALSE)))))</f>
        <v/>
      </c>
      <c r="F25" s="1"/>
      <c r="G25" s="222" t="str">
        <f>IF(
OR(ISBLANK($C25),ISBLANK($D25),ISBLANK($E$10),ISBLANK($E$9),ISBLANK($E$11)),"",IFERROR($D25*VLOOKUP((IF(
OR($C25="Residential urban land",$C25="Commercial/industrial urban land",$C25="Open urban land",$C25="Greenspace",$C25="Community food growing",$C25="Woodland",$C25="Shrub",$C25="Water"),"|||"&amp;$C25,(VLOOKUP('Stage 2'!$E$9,Lookups!$C$648:$D$656,2,FALSE)&amp;"|"&amp;$C25&amp;"|"&amp;VLOOKUP('Stage 2'!$E$12,Lookups!$C$670:$D$671,2,FALSE)&amp;"|"&amp;VLOOKUP('Stage 2'!$E$11,Lookups!$C$622:$E$644,3,FALSE)&amp;"|"&amp;VLOOKUP($E$10,Lookups!$C$661:$D$666,2,FALSE)))),Lookups!$H$94:$J$618,3,FALSE),
IFERROR($D25*VLOOKUP(VLOOKUP($E$9,Lookups!$C$648:$E$656,3,FALSE)&amp;"|"&amp;$C25&amp;"|"&amp;VLOOKUP('Stage 2'!$E$12,Lookups!$C$670:$D$671,2,FALSE)&amp;"|"&amp;VLOOKUP('Stage 2'!$E$11,Lookups!$C$622:$E$644,3,FALSE)&amp;"|"&amp;VLOOKUP($E$10,Lookups!$C$661:$D$666,2,FALSE),Lookups!$H$355:$J$618,3,FALSE),"In the absence of real world data, this figure has been generated using the most relevant average nutrient reduction coefficient.")))</f>
        <v/>
      </c>
      <c r="H25" s="144"/>
    </row>
    <row r="26" spans="1:11" x14ac:dyDescent="0.25">
      <c r="A26" s="128"/>
      <c r="B26" s="1"/>
      <c r="C26" s="217"/>
      <c r="D26" s="220"/>
      <c r="E26" s="219" t="str">
        <f>IF(OR(ISBLANK($C26),ISBLANK($D26),ISBLANK($E$10),ISBLANK($E$11)),"",IFERROR($D26*VLOOKUP((IF(OR($C26="Residential urban land",$C26="Commercial/industrial urban land",$C26="Open urban land",$C26="Greenspace",$C26="Community food growing",$C26="Woodland",$C26="Shrub", $C26="Water"), "|||"&amp;$C26, (VLOOKUP('Stage 2'!$E$9,Lookups!$C$648:$D$656,2,FALSE)&amp;"|"&amp;$C26&amp;"|"&amp;VLOOKUP('Stage 2'!$E$12,Lookups!$C$670:$D$671,2,FALSE)&amp;"|"&amp;VLOOKUP('Stage 2'!$E$11,Lookups!$C$622:$E$644,3,FALSE)&amp;"|"&amp;VLOOKUP($E$10,Lookups!$C$661:$D$666,2,FALSE)))),Lookups!$H$94:$J$618,3,FALSE),
IFERROR(IFERROR($D26*VLOOKUP(VLOOKUP($E$9,Lookups!$C$648:$E$656,3,FALSE)&amp;"|"&amp;$C26&amp;"|"&amp;VLOOKUP('Stage 2'!$E$12,Lookups!$C$670:$D$671,2,FALSE)&amp;"|"&amp;VLOOKUP('Stage 2'!$E$11,Lookups!$C$622:$E$644,3,FALSE)&amp;"|"&amp;VLOOKUP($E$10,Lookups!$C$661:$D$666,2,FALSE),Lookups!$H$355:$J$618,3,FALSE),IFERROR($D26*VLOOKUP(VLOOKUP($E$9,Lookups!$C$648:$E$656,3,FALSE)&amp;"|"&amp;$C26&amp;"|"&amp;"TRUE"&amp;"|"&amp;VLOOKUP('Stage 2'!$E$11,Lookups!$C$622:$E$644,3,FALSE)&amp;"|"&amp;VLOOKUP($E$10,Lookups!$C$661:$D$666,2,FALSE),Lookups!$H$355:$J$618,3,FALSE),$D26*VLOOKUP(VLOOKUP($E$9,Lookups!$C$648:$E$656,3,FALSE)&amp;"|"&amp;$C26&amp;"|"&amp;VLOOKUP('Stage 2'!$E$12,Lookups!$C$670:$D$671,2,FALSE)&amp;"|"&amp;VLOOKUP('Stage 2'!$E$11,Lookups!$C$622:$E$644,3,FALSE)&amp;"|"&amp;"DrainedArGr",Lookups!$H$355:$J$618,3,FALSE))),IFERROR($D26*VLOOKUP($C26&amp;"|"&amp;VLOOKUP('Stage 2'!$E$11,Lookups!$C$622:$E$644,3,FALSE),Lookups!$K$94:$M$610,3,FALSE),$D26*VLOOKUP($C26,Lookups!$D$94:$O$610,12,FALSE)))))</f>
        <v/>
      </c>
      <c r="F26" s="1"/>
      <c r="G26" s="222" t="str">
        <f>IF(
OR(ISBLANK($C26),ISBLANK($D26),ISBLANK($E$10),ISBLANK($E$9),ISBLANK($E$11)),"",IFERROR($D26*VLOOKUP((IF(
OR($C26="Residential urban land",$C26="Commercial/industrial urban land",$C26="Open urban land",$C26="Greenspace",$C26="Community food growing",$C26="Woodland",$C26="Shrub",$C26="Water"),"|||"&amp;$C26,(VLOOKUP('Stage 2'!$E$9,Lookups!$C$648:$D$656,2,FALSE)&amp;"|"&amp;$C26&amp;"|"&amp;VLOOKUP('Stage 2'!$E$12,Lookups!$C$670:$D$671,2,FALSE)&amp;"|"&amp;VLOOKUP('Stage 2'!$E$11,Lookups!$C$622:$E$644,3,FALSE)&amp;"|"&amp;VLOOKUP($E$10,Lookups!$C$661:$D$666,2,FALSE)))),Lookups!$H$94:$J$618,3,FALSE),
IFERROR($D26*VLOOKUP(VLOOKUP($E$9,Lookups!$C$648:$E$656,3,FALSE)&amp;"|"&amp;$C26&amp;"|"&amp;VLOOKUP('Stage 2'!$E$12,Lookups!$C$670:$D$671,2,FALSE)&amp;"|"&amp;VLOOKUP('Stage 2'!$E$11,Lookups!$C$622:$E$644,3,FALSE)&amp;"|"&amp;VLOOKUP($E$10,Lookups!$C$661:$D$666,2,FALSE),Lookups!$H$355:$J$618,3,FALSE),"In the absence of real world data, this figure has been generated using the most relevant average nutrient reduction coefficient.")))</f>
        <v/>
      </c>
      <c r="H26" s="144"/>
    </row>
    <row r="27" spans="1:11" x14ac:dyDescent="0.25">
      <c r="A27" s="128"/>
      <c r="B27" s="1"/>
      <c r="C27" s="217"/>
      <c r="D27" s="220"/>
      <c r="E27" s="219" t="str">
        <f>IF(OR(ISBLANK($C27),ISBLANK($D27),ISBLANK($E$10),ISBLANK($E$11)),"",IFERROR($D27*VLOOKUP((IF(OR($C27="Residential urban land",$C27="Commercial/industrial urban land",$C27="Open urban land",$C27="Greenspace",$C27="Community food growing",$C27="Woodland",$C27="Shrub", $C27="Water"), "|||"&amp;$C27, (VLOOKUP('Stage 2'!$E$9,Lookups!$C$648:$D$656,2,FALSE)&amp;"|"&amp;$C27&amp;"|"&amp;VLOOKUP('Stage 2'!$E$12,Lookups!$C$670:$D$671,2,FALSE)&amp;"|"&amp;VLOOKUP('Stage 2'!$E$11,Lookups!$C$622:$E$644,3,FALSE)&amp;"|"&amp;VLOOKUP($E$10,Lookups!$C$661:$D$666,2,FALSE)))),Lookups!$H$94:$J$618,3,FALSE),
IFERROR(IFERROR($D27*VLOOKUP(VLOOKUP($E$9,Lookups!$C$648:$E$656,3,FALSE)&amp;"|"&amp;$C27&amp;"|"&amp;VLOOKUP('Stage 2'!$E$12,Lookups!$C$670:$D$671,2,FALSE)&amp;"|"&amp;VLOOKUP('Stage 2'!$E$11,Lookups!$C$622:$E$644,3,FALSE)&amp;"|"&amp;VLOOKUP($E$10,Lookups!$C$661:$D$666,2,FALSE),Lookups!$H$355:$J$618,3,FALSE),IFERROR($D27*VLOOKUP(VLOOKUP($E$9,Lookups!$C$648:$E$656,3,FALSE)&amp;"|"&amp;$C27&amp;"|"&amp;"TRUE"&amp;"|"&amp;VLOOKUP('Stage 2'!$E$11,Lookups!$C$622:$E$644,3,FALSE)&amp;"|"&amp;VLOOKUP($E$10,Lookups!$C$661:$D$666,2,FALSE),Lookups!$H$355:$J$618,3,FALSE),$D27*VLOOKUP(VLOOKUP($E$9,Lookups!$C$648:$E$656,3,FALSE)&amp;"|"&amp;$C27&amp;"|"&amp;VLOOKUP('Stage 2'!$E$12,Lookups!$C$670:$D$671,2,FALSE)&amp;"|"&amp;VLOOKUP('Stage 2'!$E$11,Lookups!$C$622:$E$644,3,FALSE)&amp;"|"&amp;"DrainedArGr",Lookups!$H$355:$J$618,3,FALSE))),IFERROR($D27*VLOOKUP($C27&amp;"|"&amp;VLOOKUP('Stage 2'!$E$11,Lookups!$C$622:$E$644,3,FALSE),Lookups!$K$94:$M$610,3,FALSE),$D27*VLOOKUP($C27,Lookups!$D$94:$O$610,12,FALSE)))))</f>
        <v/>
      </c>
      <c r="F27" s="1"/>
      <c r="G27" s="222" t="str">
        <f>IF(
OR(ISBLANK($C27),ISBLANK($D27),ISBLANK($E$10),ISBLANK($E$9),ISBLANK($E$11)),"",IFERROR($D27*VLOOKUP((IF(
OR($C27="Residential urban land",$C27="Commercial/industrial urban land",$C27="Open urban land",$C27="Greenspace",$C27="Community food growing",$C27="Woodland",$C27="Shrub",$C27="Water"),"|||"&amp;$C27,(VLOOKUP('Stage 2'!$E$9,Lookups!$C$648:$D$656,2,FALSE)&amp;"|"&amp;$C27&amp;"|"&amp;VLOOKUP('Stage 2'!$E$12,Lookups!$C$670:$D$671,2,FALSE)&amp;"|"&amp;VLOOKUP('Stage 2'!$E$11,Lookups!$C$622:$E$644,3,FALSE)&amp;"|"&amp;VLOOKUP($E$10,Lookups!$C$661:$D$666,2,FALSE)))),Lookups!$H$94:$J$618,3,FALSE),
IFERROR($D27*VLOOKUP(VLOOKUP($E$9,Lookups!$C$648:$E$656,3,FALSE)&amp;"|"&amp;$C27&amp;"|"&amp;VLOOKUP('Stage 2'!$E$12,Lookups!$C$670:$D$671,2,FALSE)&amp;"|"&amp;VLOOKUP('Stage 2'!$E$11,Lookups!$C$622:$E$644,3,FALSE)&amp;"|"&amp;VLOOKUP($E$10,Lookups!$C$661:$D$666,2,FALSE),Lookups!$H$355:$J$618,3,FALSE),"In the absence of real world data, this figure has been generated using the most relevant average nutrient reduction coefficient.")))</f>
        <v/>
      </c>
      <c r="H27" s="144"/>
    </row>
    <row r="28" spans="1:11" x14ac:dyDescent="0.25">
      <c r="A28" s="128"/>
      <c r="B28" s="1"/>
      <c r="C28" s="217"/>
      <c r="D28" s="220"/>
      <c r="E28" s="219" t="str">
        <f>IF(OR(ISBLANK($C28),ISBLANK($D28),ISBLANK($E$10),ISBLANK($E$11)),"",IFERROR($D28*VLOOKUP((IF(OR($C28="Residential urban land",$C28="Commercial/industrial urban land",$C28="Open urban land",$C28="Greenspace",$C28="Community food growing",$C28="Woodland",$C28="Shrub", $C28="Water"), "|||"&amp;$C28, (VLOOKUP('Stage 2'!$E$9,Lookups!$C$648:$D$656,2,FALSE)&amp;"|"&amp;$C28&amp;"|"&amp;VLOOKUP('Stage 2'!$E$12,Lookups!$C$670:$D$671,2,FALSE)&amp;"|"&amp;VLOOKUP('Stage 2'!$E$11,Lookups!$C$622:$E$644,3,FALSE)&amp;"|"&amp;VLOOKUP($E$10,Lookups!$C$661:$D$666,2,FALSE)))),Lookups!$H$94:$J$618,3,FALSE),
IFERROR(IFERROR($D28*VLOOKUP(VLOOKUP($E$9,Lookups!$C$648:$E$656,3,FALSE)&amp;"|"&amp;$C28&amp;"|"&amp;VLOOKUP('Stage 2'!$E$12,Lookups!$C$670:$D$671,2,FALSE)&amp;"|"&amp;VLOOKUP('Stage 2'!$E$11,Lookups!$C$622:$E$644,3,FALSE)&amp;"|"&amp;VLOOKUP($E$10,Lookups!$C$661:$D$666,2,FALSE),Lookups!$H$355:$J$618,3,FALSE),IFERROR($D28*VLOOKUP(VLOOKUP($E$9,Lookups!$C$648:$E$656,3,FALSE)&amp;"|"&amp;$C28&amp;"|"&amp;"TRUE"&amp;"|"&amp;VLOOKUP('Stage 2'!$E$11,Lookups!$C$622:$E$644,3,FALSE)&amp;"|"&amp;VLOOKUP($E$10,Lookups!$C$661:$D$666,2,FALSE),Lookups!$H$355:$J$618,3,FALSE),$D28*VLOOKUP(VLOOKUP($E$9,Lookups!$C$648:$E$656,3,FALSE)&amp;"|"&amp;$C28&amp;"|"&amp;VLOOKUP('Stage 2'!$E$12,Lookups!$C$670:$D$671,2,FALSE)&amp;"|"&amp;VLOOKUP('Stage 2'!$E$11,Lookups!$C$622:$E$644,3,FALSE)&amp;"|"&amp;"DrainedArGr",Lookups!$H$355:$J$618,3,FALSE))),IFERROR($D28*VLOOKUP($C28&amp;"|"&amp;VLOOKUP('Stage 2'!$E$11,Lookups!$C$622:$E$644,3,FALSE),Lookups!$K$94:$M$610,3,FALSE),$D28*VLOOKUP($C28,Lookups!$D$94:$O$610,12,FALSE)))))</f>
        <v/>
      </c>
      <c r="F28" s="1"/>
      <c r="G28" s="222" t="str">
        <f>IF(
OR(ISBLANK($C28),ISBLANK($D28),ISBLANK($E$10),ISBLANK($E$9),ISBLANK($E$11)),"",IFERROR($D28*VLOOKUP((IF(
OR($C28="Residential urban land",$C28="Commercial/industrial urban land",$C28="Open urban land",$C28="Greenspace",$C28="Community food growing",$C28="Woodland",$C28="Shrub",$C28="Water"),"|||"&amp;$C28,(VLOOKUP('Stage 2'!$E$9,Lookups!$C$648:$D$656,2,FALSE)&amp;"|"&amp;$C28&amp;"|"&amp;VLOOKUP('Stage 2'!$E$12,Lookups!$C$670:$D$671,2,FALSE)&amp;"|"&amp;VLOOKUP('Stage 2'!$E$11,Lookups!$C$622:$E$644,3,FALSE)&amp;"|"&amp;VLOOKUP($E$10,Lookups!$C$661:$D$666,2,FALSE)))),Lookups!$H$94:$J$618,3,FALSE),
IFERROR($D28*VLOOKUP(VLOOKUP($E$9,Lookups!$C$648:$E$656,3,FALSE)&amp;"|"&amp;$C28&amp;"|"&amp;VLOOKUP('Stage 2'!$E$12,Lookups!$C$670:$D$671,2,FALSE)&amp;"|"&amp;VLOOKUP('Stage 2'!$E$11,Lookups!$C$622:$E$644,3,FALSE)&amp;"|"&amp;VLOOKUP($E$10,Lookups!$C$661:$D$666,2,FALSE),Lookups!$H$355:$J$618,3,FALSE),"In the absence of real world data, this figure has been generated using the most relevant average nutrient reduction coefficient.")))</f>
        <v/>
      </c>
      <c r="H28" s="144"/>
      <c r="J28" s="152"/>
    </row>
    <row r="29" spans="1:11" x14ac:dyDescent="0.25">
      <c r="A29" s="128"/>
      <c r="B29" s="1"/>
      <c r="C29" s="217"/>
      <c r="D29" s="220"/>
      <c r="E29" s="219" t="str">
        <f>IF(OR(ISBLANK($C29),ISBLANK($D29),ISBLANK($E$10),ISBLANK($E$11)),"",IFERROR($D29*VLOOKUP((IF(OR($C29="Residential urban land",$C29="Commercial/industrial urban land",$C29="Open urban land",$C29="Greenspace",$C29="Community food growing",$C29="Woodland",$C29="Shrub", $C29="Water"), "|||"&amp;$C29, (VLOOKUP('Stage 2'!$E$9,Lookups!$C$648:$D$656,2,FALSE)&amp;"|"&amp;$C29&amp;"|"&amp;VLOOKUP('Stage 2'!$E$12,Lookups!$C$670:$D$671,2,FALSE)&amp;"|"&amp;VLOOKUP('Stage 2'!$E$11,Lookups!$C$622:$E$644,3,FALSE)&amp;"|"&amp;VLOOKUP($E$10,Lookups!$C$661:$D$666,2,FALSE)))),Lookups!$H$94:$J$618,3,FALSE),
IFERROR(IFERROR($D29*VLOOKUP(VLOOKUP($E$9,Lookups!$C$648:$E$656,3,FALSE)&amp;"|"&amp;$C29&amp;"|"&amp;VLOOKUP('Stage 2'!$E$12,Lookups!$C$670:$D$671,2,FALSE)&amp;"|"&amp;VLOOKUP('Stage 2'!$E$11,Lookups!$C$622:$E$644,3,FALSE)&amp;"|"&amp;VLOOKUP($E$10,Lookups!$C$661:$D$666,2,FALSE),Lookups!$H$355:$J$618,3,FALSE),IFERROR($D29*VLOOKUP(VLOOKUP($E$9,Lookups!$C$648:$E$656,3,FALSE)&amp;"|"&amp;$C29&amp;"|"&amp;"TRUE"&amp;"|"&amp;VLOOKUP('Stage 2'!$E$11,Lookups!$C$622:$E$644,3,FALSE)&amp;"|"&amp;VLOOKUP($E$10,Lookups!$C$661:$D$666,2,FALSE),Lookups!$H$355:$J$618,3,FALSE),$D29*VLOOKUP(VLOOKUP($E$9,Lookups!$C$648:$E$656,3,FALSE)&amp;"|"&amp;$C29&amp;"|"&amp;VLOOKUP('Stage 2'!$E$12,Lookups!$C$670:$D$671,2,FALSE)&amp;"|"&amp;VLOOKUP('Stage 2'!$E$11,Lookups!$C$622:$E$644,3,FALSE)&amp;"|"&amp;"DrainedArGr",Lookups!$H$355:$J$618,3,FALSE))),IFERROR($D29*VLOOKUP($C29&amp;"|"&amp;VLOOKUP('Stage 2'!$E$11,Lookups!$C$622:$E$644,3,FALSE),Lookups!$K$94:$M$610,3,FALSE),$D29*VLOOKUP($C29,Lookups!$D$94:$O$610,12,FALSE)))))</f>
        <v/>
      </c>
      <c r="F29" s="1"/>
      <c r="G29" s="222" t="str">
        <f>IF(
OR(ISBLANK($C29),ISBLANK($D29),ISBLANK($E$10),ISBLANK($E$9),ISBLANK($E$11)),"",IFERROR($D29*VLOOKUP((IF(
OR($C29="Residential urban land",$C29="Commercial/industrial urban land",$C29="Open urban land",$C29="Greenspace",$C29="Community food growing",$C29="Woodland",$C29="Shrub",$C29="Water"),"|||"&amp;$C29,(VLOOKUP('Stage 2'!$E$9,Lookups!$C$648:$D$656,2,FALSE)&amp;"|"&amp;$C29&amp;"|"&amp;VLOOKUP('Stage 2'!$E$12,Lookups!$C$670:$D$671,2,FALSE)&amp;"|"&amp;VLOOKUP('Stage 2'!$E$11,Lookups!$C$622:$E$644,3,FALSE)&amp;"|"&amp;VLOOKUP($E$10,Lookups!$C$661:$D$666,2,FALSE)))),Lookups!$H$94:$J$618,3,FALSE),
IFERROR($D29*VLOOKUP(VLOOKUP($E$9,Lookups!$C$648:$E$656,3,FALSE)&amp;"|"&amp;$C29&amp;"|"&amp;VLOOKUP('Stage 2'!$E$12,Lookups!$C$670:$D$671,2,FALSE)&amp;"|"&amp;VLOOKUP('Stage 2'!$E$11,Lookups!$C$622:$E$644,3,FALSE)&amp;"|"&amp;VLOOKUP($E$10,Lookups!$C$661:$D$666,2,FALSE),Lookups!$H$355:$J$618,3,FALSE),"In the absence of real world data, this figure has been generated using the most relevant average nutrient reduction coefficient.")))</f>
        <v/>
      </c>
      <c r="H29" s="144"/>
    </row>
    <row r="30" spans="1:11" x14ac:dyDescent="0.25">
      <c r="A30" s="128"/>
      <c r="B30" s="1"/>
      <c r="C30" s="217"/>
      <c r="D30" s="220"/>
      <c r="E30" s="219" t="str">
        <f>IF(OR(ISBLANK($C30),ISBLANK($D30),ISBLANK($E$10),ISBLANK($E$11)),"",IFERROR($D30*VLOOKUP((IF(OR($C30="Residential urban land",$C30="Commercial/industrial urban land",$C30="Open urban land",$C30="Greenspace",$C30="Community food growing",$C30="Woodland",$C30="Shrub", $C30="Water"), "|||"&amp;$C30, (VLOOKUP('Stage 2'!$E$9,Lookups!$C$648:$D$656,2,FALSE)&amp;"|"&amp;$C30&amp;"|"&amp;VLOOKUP('Stage 2'!$E$12,Lookups!$C$670:$D$671,2,FALSE)&amp;"|"&amp;VLOOKUP('Stage 2'!$E$11,Lookups!$C$622:$E$644,3,FALSE)&amp;"|"&amp;VLOOKUP($E$10,Lookups!$C$661:$D$666,2,FALSE)))),Lookups!$H$94:$J$618,3,FALSE),
IFERROR(IFERROR($D30*VLOOKUP(VLOOKUP($E$9,Lookups!$C$648:$E$656,3,FALSE)&amp;"|"&amp;$C30&amp;"|"&amp;VLOOKUP('Stage 2'!$E$12,Lookups!$C$670:$D$671,2,FALSE)&amp;"|"&amp;VLOOKUP('Stage 2'!$E$11,Lookups!$C$622:$E$644,3,FALSE)&amp;"|"&amp;VLOOKUP($E$10,Lookups!$C$661:$D$666,2,FALSE),Lookups!$H$355:$J$618,3,FALSE),IFERROR($D30*VLOOKUP(VLOOKUP($E$9,Lookups!$C$648:$E$656,3,FALSE)&amp;"|"&amp;$C30&amp;"|"&amp;"TRUE"&amp;"|"&amp;VLOOKUP('Stage 2'!$E$11,Lookups!$C$622:$E$644,3,FALSE)&amp;"|"&amp;VLOOKUP($E$10,Lookups!$C$661:$D$666,2,FALSE),Lookups!$H$355:$J$618,3,FALSE),$D30*VLOOKUP(VLOOKUP($E$9,Lookups!$C$648:$E$656,3,FALSE)&amp;"|"&amp;$C30&amp;"|"&amp;VLOOKUP('Stage 2'!$E$12,Lookups!$C$670:$D$671,2,FALSE)&amp;"|"&amp;VLOOKUP('Stage 2'!$E$11,Lookups!$C$622:$E$644,3,FALSE)&amp;"|"&amp;"DrainedArGr",Lookups!$H$355:$J$618,3,FALSE))),IFERROR($D30*VLOOKUP($C30&amp;"|"&amp;VLOOKUP('Stage 2'!$E$11,Lookups!$C$622:$E$644,3,FALSE),Lookups!$K$94:$M$610,3,FALSE),$D30*VLOOKUP($C30,Lookups!$D$94:$O$610,12,FALSE)))))</f>
        <v/>
      </c>
      <c r="F30" s="1"/>
      <c r="G30" s="222" t="str">
        <f>IF(
OR(ISBLANK($C30),ISBLANK($D30),ISBLANK($E$10),ISBLANK($E$9),ISBLANK($E$11)),"",IFERROR($D30*VLOOKUP((IF(
OR($C30="Residential urban land",$C30="Commercial/industrial urban land",$C30="Open urban land",$C30="Greenspace",$C30="Community food growing",$C30="Woodland",$C30="Shrub",$C30="Water"),"|||"&amp;$C30,(VLOOKUP('Stage 2'!$E$9,Lookups!$C$648:$D$656,2,FALSE)&amp;"|"&amp;$C30&amp;"|"&amp;VLOOKUP('Stage 2'!$E$12,Lookups!$C$670:$D$671,2,FALSE)&amp;"|"&amp;VLOOKUP('Stage 2'!$E$11,Lookups!$C$622:$E$644,3,FALSE)&amp;"|"&amp;VLOOKUP($E$10,Lookups!$C$661:$D$666,2,FALSE)))),Lookups!$H$94:$J$618,3,FALSE),
IFERROR($D30*VLOOKUP(VLOOKUP($E$9,Lookups!$C$648:$E$656,3,FALSE)&amp;"|"&amp;$C30&amp;"|"&amp;VLOOKUP('Stage 2'!$E$12,Lookups!$C$670:$D$671,2,FALSE)&amp;"|"&amp;VLOOKUP('Stage 2'!$E$11,Lookups!$C$622:$E$644,3,FALSE)&amp;"|"&amp;VLOOKUP($E$10,Lookups!$C$661:$D$666,2,FALSE),Lookups!$H$355:$J$618,3,FALSE),"In the absence of real world data, this figure has been generated using the most relevant average nutrient reduction coefficient.")))</f>
        <v/>
      </c>
      <c r="H30" s="144"/>
    </row>
    <row r="31" spans="1:11" ht="15.75" thickBot="1" x14ac:dyDescent="0.3">
      <c r="A31" s="128"/>
      <c r="B31" s="1"/>
      <c r="C31" s="217"/>
      <c r="D31" s="221"/>
      <c r="E31" s="219" t="str">
        <f>IF(OR(ISBLANK($C31),ISBLANK($D31),ISBLANK($E$10),ISBLANK($E$11)),"",IFERROR($D31*VLOOKUP((IF(OR($C31="Residential urban land",$C31="Commercial/industrial urban land",$C31="Open urban land",$C31="Greenspace",$C31="Community food growing",$C31="Woodland",$C31="Shrub", $C31="Water"), "|||"&amp;$C31, (VLOOKUP('Stage 2'!$E$9,Lookups!$C$648:$D$656,2,FALSE)&amp;"|"&amp;$C31&amp;"|"&amp;VLOOKUP('Stage 2'!$E$12,Lookups!$C$670:$D$671,2,FALSE)&amp;"|"&amp;VLOOKUP('Stage 2'!$E$11,Lookups!$C$622:$E$644,3,FALSE)&amp;"|"&amp;VLOOKUP($E$10,Lookups!$C$661:$D$666,2,FALSE)))),Lookups!$H$94:$J$618,3,FALSE),
IFERROR(IFERROR($D31*VLOOKUP(VLOOKUP($E$9,Lookups!$C$648:$E$656,3,FALSE)&amp;"|"&amp;$C31&amp;"|"&amp;VLOOKUP('Stage 2'!$E$12,Lookups!$C$670:$D$671,2,FALSE)&amp;"|"&amp;VLOOKUP('Stage 2'!$E$11,Lookups!$C$622:$E$644,3,FALSE)&amp;"|"&amp;VLOOKUP($E$10,Lookups!$C$661:$D$666,2,FALSE),Lookups!$H$355:$J$618,3,FALSE),IFERROR($D31*VLOOKUP(VLOOKUP($E$9,Lookups!$C$648:$E$656,3,FALSE)&amp;"|"&amp;$C31&amp;"|"&amp;"TRUE"&amp;"|"&amp;VLOOKUP('Stage 2'!$E$11,Lookups!$C$622:$E$644,3,FALSE)&amp;"|"&amp;VLOOKUP($E$10,Lookups!$C$661:$D$666,2,FALSE),Lookups!$H$355:$J$618,3,FALSE),$D31*VLOOKUP(VLOOKUP($E$9,Lookups!$C$648:$E$656,3,FALSE)&amp;"|"&amp;$C31&amp;"|"&amp;VLOOKUP('Stage 2'!$E$12,Lookups!$C$670:$D$671,2,FALSE)&amp;"|"&amp;VLOOKUP('Stage 2'!$E$11,Lookups!$C$622:$E$644,3,FALSE)&amp;"|"&amp;"DrainedArGr",Lookups!$H$355:$J$618,3,FALSE))),IFERROR($D31*VLOOKUP($C31&amp;"|"&amp;VLOOKUP('Stage 2'!$E$11,Lookups!$C$622:$E$644,3,FALSE),Lookups!$K$94:$M$610,3,FALSE),$D31*VLOOKUP($C31,Lookups!$D$94:$O$610,12,FALSE)))))</f>
        <v/>
      </c>
      <c r="F31" s="1"/>
      <c r="G31" s="222" t="str">
        <f>IF(
OR(ISBLANK($C31),ISBLANK($D31),ISBLANK($E$10),ISBLANK($E$9),ISBLANK($E$11)),"",IFERROR($D31*VLOOKUP((IF(
OR($C31="Residential urban land",$C31="Commercial/industrial urban land",$C31="Open urban land",$C31="Greenspace",$C31="Community food growing",$C31="Woodland",$C31="Shrub",$C31="Water"),"|||"&amp;$C31,(VLOOKUP('Stage 2'!$E$9,Lookups!$C$648:$D$656,2,FALSE)&amp;"|"&amp;$C31&amp;"|"&amp;VLOOKUP('Stage 2'!$E$12,Lookups!$C$670:$D$671,2,FALSE)&amp;"|"&amp;VLOOKUP('Stage 2'!$E$11,Lookups!$C$622:$E$644,3,FALSE)&amp;"|"&amp;VLOOKUP($E$10,Lookups!$C$661:$D$666,2,FALSE)))),Lookups!$H$94:$J$618,3,FALSE),
IFERROR($D31*VLOOKUP(VLOOKUP($E$9,Lookups!$C$648:$E$656,3,FALSE)&amp;"|"&amp;$C31&amp;"|"&amp;VLOOKUP('Stage 2'!$E$12,Lookups!$C$670:$D$671,2,FALSE)&amp;"|"&amp;VLOOKUP('Stage 2'!$E$11,Lookups!$C$622:$E$644,3,FALSE)&amp;"|"&amp;VLOOKUP($E$10,Lookups!$C$661:$D$666,2,FALSE),Lookups!$H$355:$J$618,3,FALSE),"In the absence of real world data, this figure has been generated using the most relevant average nutrient reduction coefficient.")))</f>
        <v/>
      </c>
      <c r="H31" s="144"/>
    </row>
    <row r="32" spans="1:11" x14ac:dyDescent="0.25">
      <c r="A32" s="128"/>
      <c r="B32" s="1"/>
      <c r="C32" s="70" t="s">
        <v>118</v>
      </c>
      <c r="D32" s="93">
        <f>SUM(D15:D31)</f>
        <v>0</v>
      </c>
      <c r="E32" s="213">
        <f>SUM(E15:E31)</f>
        <v>0</v>
      </c>
      <c r="F32" s="1"/>
      <c r="G32" s="1"/>
      <c r="H32" s="112"/>
    </row>
    <row r="33" spans="1:8" ht="15.75" thickBot="1" x14ac:dyDescent="0.3">
      <c r="A33" s="128"/>
      <c r="B33" s="137"/>
      <c r="C33" s="125"/>
      <c r="D33" s="125"/>
      <c r="E33" s="125"/>
      <c r="F33" s="125"/>
      <c r="G33" s="125"/>
      <c r="H33" s="126"/>
    </row>
    <row r="34" spans="1:8" ht="15.75" thickTop="1" x14ac:dyDescent="0.25"/>
  </sheetData>
  <sheetProtection algorithmName="SHA-512" hashValue="qrT7tx2+vdbrXKDOOC4qPJuBeoIZVyAaB7DkzFP4+C8BN5fQgwso/FWzg24gamCEw1cDDUEuG6fD2OPlF+6ZDQ==" saltValue="crIr6hEuBIORnb65KdNuww==" spinCount="100000" sheet="1" selectLockedCells="1"/>
  <protectedRanges>
    <protectedRange algorithmName="SHA-512" hashValue="6MaqfLmjxE2CMsYMEtptASTKbC7XykMYNd+AlVy+V2v/64BykwcwkRmAkImBIYM0n+Am+TaTWEeHGgFZHNJWgA==" saltValue="1lVOneDC33VcvqS0774YtQ==" spinCount="100000" sqref="E9:E12 C15:D31" name="Range1"/>
  </protectedRanges>
  <mergeCells count="6">
    <mergeCell ref="C12:D12"/>
    <mergeCell ref="C9:D9"/>
    <mergeCell ref="C10:D10"/>
    <mergeCell ref="C11:D11"/>
    <mergeCell ref="B3:H5"/>
    <mergeCell ref="C7:F7"/>
  </mergeCells>
  <conditionalFormatting sqref="G15:G31">
    <cfRule type="expression" dxfId="2" priority="1">
      <formula>($G15="In the absence of real world data, this figure has been generated using the most relevant average nutrient reduction coefficient.")</formula>
    </cfRule>
  </conditionalFormatting>
  <dataValidations xWindow="234" yWindow="681" count="1">
    <dataValidation allowBlank="1" showInputMessage="1" showErrorMessage="1" prompt="Please enter area in hectares." sqref="D15:D31" xr:uid="{7A3F0B97-DB05-43E3-94F5-093694D5E348}"/>
  </dataValidations>
  <pageMargins left="0.7" right="0.7" top="0.75" bottom="0.75" header="0.3" footer="0.3"/>
  <pageSetup paperSize="9" orientation="portrait" verticalDpi="200" r:id="rId1"/>
  <extLst>
    <ext xmlns:x14="http://schemas.microsoft.com/office/spreadsheetml/2009/9/main" uri="{CCE6A557-97BC-4b89-ADB6-D9C93CAAB3DF}">
      <x14:dataValidations xmlns:xm="http://schemas.microsoft.com/office/excel/2006/main" xWindow="234" yWindow="681" count="5">
        <x14:dataValidation type="list" allowBlank="1" showInputMessage="1" showErrorMessage="1" errorTitle="Rainfall" error="Rainfall must be entered from the drop down list." prompt="Please enter the annual average rainfall for the development site. If unsure please see the instructions page (Section 3.3) for guidance on how to determine this. If the rainfall volume is not on the list, please select the nearest value." xr:uid="{506A711F-D616-42C7-91D7-47C349233471}">
          <x14:formula1>
            <xm:f>Lookups!$C$628:$C$639</xm:f>
          </x14:formula1>
          <xm:sqref>E11</xm:sqref>
        </x14:dataValidation>
        <x14:dataValidation type="list" showInputMessage="1" showErrorMessage="1" errorTitle="NVZ" error="Please select whether development area is within an NVZ." prompt="Please select whether the development area is within an NVZ. If unsure please see the instructions page (Section 3.4) for guidance on how to determine this. " xr:uid="{9F25A89B-2F33-4BD1-97BD-EA33B22A96BB}">
          <x14:formula1>
            <xm:f>Lookups!$C$670:$C$671</xm:f>
          </x14:formula1>
          <xm:sqref>E12</xm:sqref>
        </x14:dataValidation>
        <x14:dataValidation type="list" operator="greaterThan" allowBlank="1" showInputMessage="1" showErrorMessage="1" errorTitle="Soil drainage type" error="Pleas enter the soil drainage type for the development site." prompt="Please enter the soil drainage type for the development site. If unsure please see the instructions page (Section 3.2) for guidance on how to determine this." xr:uid="{30EB6C55-0D33-4679-BDCD-D3A716B82E75}">
          <x14:formula1>
            <xm:f>Lookups!$C$661:$C$666</xm:f>
          </x14:formula1>
          <xm:sqref>E10</xm:sqref>
        </x14:dataValidation>
        <x14:dataValidation type="list" operator="greaterThan" allowBlank="1" showInputMessage="1" showErrorMessage="1" errorTitle="Catchment Error" error="Please enter your catchment." prompt="Please enter the Operational Catchment that the development site is within. If unsure Please see the instructions page (Section 3.1) for guidance on how to determine this." xr:uid="{B2B19558-C6B4-46F2-B681-B62D4CF291FE}">
          <x14:formula1>
            <xm:f>Lookups!$C$648:$C$656</xm:f>
          </x14:formula1>
          <xm:sqref>E9</xm:sqref>
        </x14:dataValidation>
        <x14:dataValidation type="list" allowBlank="1" showInputMessage="1" showErrorMessage="1" errorTitle="Landcover" error="Please select all pre exisitng landcover types." prompt="Select exisiting (pre-development) land use types from the drop down list." xr:uid="{0167FF31-8032-40BB-9FE2-158176320E71}">
          <x14:formula1>
            <xm:f>Lookups!$I$648:$I$663</xm:f>
          </x14:formula1>
          <xm:sqref>C15:C31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1268-2FDD-4208-B879-2DF0627A5BBD}">
  <dimension ref="A3:I29"/>
  <sheetViews>
    <sheetView showRowColHeaders="0" zoomScaleNormal="100" workbookViewId="0">
      <selection activeCell="C10" sqref="C10"/>
    </sheetView>
  </sheetViews>
  <sheetFormatPr defaultColWidth="9.140625" defaultRowHeight="15" x14ac:dyDescent="0.25"/>
  <cols>
    <col min="1" max="1" width="9.140625" style="127"/>
    <col min="2" max="2" width="4.7109375" style="127" customWidth="1"/>
    <col min="3" max="3" width="32" style="127" customWidth="1"/>
    <col min="4" max="4" width="12.42578125" style="127" customWidth="1"/>
    <col min="5" max="5" width="19.5703125" style="127" customWidth="1"/>
    <col min="6" max="6" width="18.85546875" style="127" hidden="1" customWidth="1"/>
    <col min="7" max="7" width="4.5703125" style="127" customWidth="1"/>
    <col min="8" max="16384" width="9.140625" style="127"/>
  </cols>
  <sheetData>
    <row r="3" spans="1:9" x14ac:dyDescent="0.25">
      <c r="A3" s="128"/>
      <c r="B3" s="262" t="s">
        <v>119</v>
      </c>
      <c r="C3" s="263"/>
      <c r="D3" s="263"/>
      <c r="E3" s="263"/>
      <c r="F3" s="263"/>
      <c r="G3" s="264"/>
    </row>
    <row r="4" spans="1:9" x14ac:dyDescent="0.25">
      <c r="A4" s="128"/>
      <c r="B4" s="262"/>
      <c r="C4" s="263"/>
      <c r="D4" s="263"/>
      <c r="E4" s="263"/>
      <c r="F4" s="263"/>
      <c r="G4" s="264"/>
    </row>
    <row r="5" spans="1:9" x14ac:dyDescent="0.25">
      <c r="A5" s="128"/>
      <c r="B5" s="262"/>
      <c r="C5" s="263"/>
      <c r="D5" s="263"/>
      <c r="E5" s="263"/>
      <c r="F5" s="263"/>
      <c r="G5" s="264"/>
    </row>
    <row r="6" spans="1:9" ht="17.25" x14ac:dyDescent="0.25">
      <c r="A6" s="128"/>
      <c r="B6" s="1"/>
      <c r="C6" s="1"/>
      <c r="D6" s="1"/>
      <c r="E6" s="1"/>
      <c r="F6" s="1"/>
      <c r="G6" s="135"/>
    </row>
    <row r="7" spans="1:9" ht="18" customHeight="1" x14ac:dyDescent="0.25">
      <c r="A7" s="128"/>
      <c r="B7" s="1"/>
      <c r="C7" s="267" t="s">
        <v>76</v>
      </c>
      <c r="D7" s="267"/>
      <c r="E7" s="267"/>
      <c r="F7" s="267"/>
      <c r="G7" s="134"/>
    </row>
    <row r="8" spans="1:9" x14ac:dyDescent="0.25">
      <c r="A8" s="128"/>
      <c r="B8" s="1"/>
      <c r="C8" s="1"/>
      <c r="D8" s="1"/>
      <c r="E8" s="1"/>
      <c r="F8" s="1"/>
      <c r="G8" s="112"/>
    </row>
    <row r="9" spans="1:9" ht="68.25" customHeight="1" thickBot="1" x14ac:dyDescent="0.3">
      <c r="A9" s="128"/>
      <c r="B9" s="1"/>
      <c r="C9" s="71" t="s">
        <v>120</v>
      </c>
      <c r="D9" s="71" t="s">
        <v>115</v>
      </c>
      <c r="E9" s="69" t="s">
        <v>121</v>
      </c>
      <c r="F9" s="1"/>
      <c r="G9" s="112"/>
    </row>
    <row r="10" spans="1:9" x14ac:dyDescent="0.25">
      <c r="A10" s="128"/>
      <c r="B10" s="1"/>
      <c r="C10" s="99"/>
      <c r="D10" s="100"/>
      <c r="E10" s="163" t="str">
        <f>IF(OR(ISBLANK(C10),ISBLANK(D10)),"",D10*VLOOKUP((IF(OR(C10="Residential urban land",C10="Commercial/industrial urban land",C10="Open urban land",C10="Greenspace",C10="Community food growing",C10="Woodland",C10="Shrub", C10="Water"), "|||"&amp;C10, (VLOOKUP('Stage 2'!$E$9,Lookups!$C$661:$E$666,2,FALSE)&amp;"|"&amp;C10&amp;"|"&amp;VLOOKUP('Stage 2'!$E$12,Lookups!$C$670:$D$671,2,FALSE)&amp;"|"&amp;VLOOKUP('Stage 2'!$E$11,Lookups!$C$622:$E$644,3,FALSE)&amp;"|"&amp;VLOOKUP('Stage 2'!$E$10,Lookups!#REF!,2,FALSE)))),Lookups!$H$355:$J$618,3,FALSE))</f>
        <v/>
      </c>
      <c r="F10" s="1"/>
      <c r="G10" s="112"/>
    </row>
    <row r="11" spans="1:9" x14ac:dyDescent="0.25">
      <c r="A11" s="128"/>
      <c r="B11" s="1"/>
      <c r="C11" s="99"/>
      <c r="D11" s="100"/>
      <c r="E11" s="163" t="str">
        <f>IF(OR(ISBLANK(C11),ISBLANK(D11)),"",D11*VLOOKUP((IF(OR(C11="Residential urban land",C11="Commercial/industrial urban land",C11="Open urban land",C11="Greenspace",C11="Community food growing",C11="Woodland",C11="Shrub", C11="Water"), "|||"&amp;C11, (VLOOKUP('Stage 2'!$E$9,Lookups!$C$661:$E$666,2,FALSE)&amp;"|"&amp;C11&amp;"|"&amp;VLOOKUP('Stage 2'!$E$12,Lookups!$C$670:$D$671,2,FALSE)&amp;"|"&amp;VLOOKUP('Stage 2'!$E$11,Lookups!$C$622:$E$644,3,FALSE)&amp;"|"&amp;VLOOKUP('Stage 2'!$E$10,Lookups!#REF!,2,FALSE)))),Lookups!$H$355:$J$618,3,FALSE))</f>
        <v/>
      </c>
      <c r="F11" s="1"/>
      <c r="G11" s="112"/>
    </row>
    <row r="12" spans="1:9" x14ac:dyDescent="0.25">
      <c r="A12" s="128"/>
      <c r="B12" s="1"/>
      <c r="C12" s="99"/>
      <c r="D12" s="100"/>
      <c r="E12" s="163" t="str">
        <f>IF(OR(ISBLANK(C12),ISBLANK(D12)),"",D12*VLOOKUP((IF(OR(C12="Residential urban land",C12="Commercial/industrial urban land",C12="Open urban land",C12="Greenspace",C12="Community food growing",C12="Woodland",C12="Shrub", C12="Water"), "|||"&amp;C12, (VLOOKUP('Stage 2'!$E$9,Lookups!$C$661:$E$666,2,FALSE)&amp;"|"&amp;C12&amp;"|"&amp;VLOOKUP('Stage 2'!$E$12,Lookups!$C$670:$D$671,2,FALSE)&amp;"|"&amp;VLOOKUP('Stage 2'!$E$11,Lookups!$C$622:$E$644,3,FALSE)&amp;"|"&amp;VLOOKUP('Stage 2'!$E$10,Lookups!#REF!,2,FALSE)))),Lookups!$H$355:$J$618,3,FALSE))</f>
        <v/>
      </c>
      <c r="F12" s="1"/>
      <c r="G12" s="112"/>
    </row>
    <row r="13" spans="1:9" x14ac:dyDescent="0.25">
      <c r="A13" s="128"/>
      <c r="B13" s="1"/>
      <c r="C13" s="99"/>
      <c r="D13" s="100"/>
      <c r="E13" s="163" t="str">
        <f>IF(OR(ISBLANK(C13),ISBLANK(D13)),"",D13*VLOOKUP((IF(OR(C13="Residential urban land",C13="Commercial/industrial urban land",C13="Open urban land",C13="Greenspace",C13="Community food growing",C13="Woodland",C13="Shrub", C13="Water"), "|||"&amp;C13, (VLOOKUP('Stage 2'!$E$9,Lookups!$C$661:$E$666,2,FALSE)&amp;"|"&amp;C13&amp;"|"&amp;VLOOKUP('Stage 2'!$E$12,Lookups!$C$670:$D$671,2,FALSE)&amp;"|"&amp;VLOOKUP('Stage 2'!$E$11,Lookups!$C$622:$E$644,3,FALSE)&amp;"|"&amp;VLOOKUP('Stage 2'!$E$10,Lookups!#REF!,2,FALSE)))),Lookups!$H$355:$J$618,3,FALSE))</f>
        <v/>
      </c>
      <c r="F13" s="1"/>
      <c r="G13" s="112"/>
    </row>
    <row r="14" spans="1:9" x14ac:dyDescent="0.25">
      <c r="A14" s="128"/>
      <c r="B14" s="1"/>
      <c r="C14" s="99"/>
      <c r="D14" s="100"/>
      <c r="E14" s="163" t="str">
        <f>IF(OR(ISBLANK(C14),ISBLANK(D14)),"",D14*VLOOKUP((IF(OR(C14="Residential urban land",C14="Commercial/industrial urban land",C14="Open urban land",C14="Greenspace",C14="Community food growing",C14="Woodland",C14="Shrub", C14="Water"), "|||"&amp;C14, (VLOOKUP('Stage 2'!$E$9,Lookups!$C$661:$E$666,2,FALSE)&amp;"|"&amp;C14&amp;"|"&amp;VLOOKUP('Stage 2'!$E$12,Lookups!$C$670:$D$671,2,FALSE)&amp;"|"&amp;VLOOKUP('Stage 2'!$E$11,Lookups!$C$622:$E$644,3,FALSE)&amp;"|"&amp;VLOOKUP('Stage 2'!$E$10,Lookups!#REF!,2,FALSE)))),Lookups!$H$355:$J$618,3,FALSE))</f>
        <v/>
      </c>
      <c r="F14" s="1"/>
      <c r="G14" s="112"/>
    </row>
    <row r="15" spans="1:9" x14ac:dyDescent="0.25">
      <c r="A15" s="128"/>
      <c r="B15" s="1"/>
      <c r="C15" s="99"/>
      <c r="D15" s="100"/>
      <c r="E15" s="163" t="str">
        <f>IF(OR(ISBLANK(C15),ISBLANK(D15)),"",D15*VLOOKUP((IF(OR(C15="Residential urban land",C15="Commercial/industrial urban land",C15="Open urban land",C15="Greenspace",C15="Community food growing",C15="Woodland",C15="Shrub", C15="Water"), "|||"&amp;C15, (VLOOKUP('Stage 2'!$E$9,Lookups!$C$661:$E$666,2,FALSE)&amp;"|"&amp;C15&amp;"|"&amp;VLOOKUP('Stage 2'!$E$12,Lookups!$C$670:$D$671,2,FALSE)&amp;"|"&amp;VLOOKUP('Stage 2'!$E$11,Lookups!$C$622:$E$644,3,FALSE)&amp;"|"&amp;VLOOKUP('Stage 2'!$E$10,Lookups!#REF!,2,FALSE)))),Lookups!$H$355:$J$618,3,FALSE))</f>
        <v/>
      </c>
      <c r="F15" s="1"/>
      <c r="G15" s="112"/>
      <c r="I15" s="152"/>
    </row>
    <row r="16" spans="1:9" x14ac:dyDescent="0.25">
      <c r="A16" s="128"/>
      <c r="B16" s="1"/>
      <c r="C16" s="99"/>
      <c r="D16" s="100"/>
      <c r="E16" s="163" t="str">
        <f>IF(OR(ISBLANK(C16),ISBLANK(D16)),"",D16*VLOOKUP((IF(OR(C16="Residential urban land",C16="Commercial/industrial urban land",C16="Open urban land",C16="Greenspace",C16="Community food growing",C16="Woodland",C16="Shrub", C16="Water"), "|||"&amp;C16, (VLOOKUP('Stage 2'!$E$9,Lookups!$C$661:$E$666,2,FALSE)&amp;"|"&amp;C16&amp;"|"&amp;VLOOKUP('Stage 2'!$E$12,Lookups!$C$670:$D$671,2,FALSE)&amp;"|"&amp;VLOOKUP('Stage 2'!$E$11,Lookups!$C$622:$E$644,3,FALSE)&amp;"|"&amp;VLOOKUP('Stage 2'!$E$10,Lookups!#REF!,2,FALSE)))),Lookups!$H$355:$J$618,3,FALSE))</f>
        <v/>
      </c>
      <c r="F16" s="1"/>
      <c r="G16" s="112"/>
    </row>
    <row r="17" spans="1:7" x14ac:dyDescent="0.25">
      <c r="A17" s="128"/>
      <c r="B17" s="1"/>
      <c r="C17" s="99"/>
      <c r="D17" s="100"/>
      <c r="E17" s="163" t="str">
        <f>IF(OR(ISBLANK(C17),ISBLANK(D17)),"",D17*VLOOKUP((IF(OR(C17="Residential urban land",C17="Commercial/industrial urban land",C17="Open urban land",C17="Greenspace",C17="Community food growing",C17="Woodland",C17="Shrub", C17="Water"), "|||"&amp;C17, (VLOOKUP('Stage 2'!$E$9,Lookups!$C$661:$E$666,2,FALSE)&amp;"|"&amp;C17&amp;"|"&amp;VLOOKUP('Stage 2'!$E$12,Lookups!$C$670:$D$671,2,FALSE)&amp;"|"&amp;VLOOKUP('Stage 2'!$E$11,Lookups!$C$622:$E$644,3,FALSE)&amp;"|"&amp;VLOOKUP('Stage 2'!$E$10,Lookups!#REF!,2,FALSE)))),Lookups!$H$355:$J$618,3,FALSE))</f>
        <v/>
      </c>
      <c r="F17" s="1"/>
      <c r="G17" s="112"/>
    </row>
    <row r="18" spans="1:7" x14ac:dyDescent="0.25">
      <c r="A18" s="128"/>
      <c r="B18" s="1"/>
      <c r="C18" s="99"/>
      <c r="D18" s="108"/>
      <c r="E18" s="163" t="str">
        <f>IF(OR(ISBLANK(C18),ISBLANK(D18)),"",D18*VLOOKUP((IF(OR(C18="Residential urban land",C18="Commercial/industrial urban land",C18="Open urban land",C18="Greenspace",C18="Community food growing",C18="Woodland",C18="Shrub", C18="Water"), "|||"&amp;C18, (VLOOKUP('Stage 2'!$E$9,Lookups!$C$661:$E$666,2,FALSE)&amp;"|"&amp;C18&amp;"|"&amp;VLOOKUP('Stage 2'!$E$12,Lookups!$C$670:$D$671,2,FALSE)&amp;"|"&amp;VLOOKUP('Stage 2'!$E$11,Lookups!$C$622:$E$644,3,FALSE)&amp;"|"&amp;VLOOKUP('Stage 2'!$E$10,Lookups!#REF!,2,FALSE)))),Lookups!$H$355:$J$618,3,FALSE))</f>
        <v/>
      </c>
      <c r="F18" s="1"/>
      <c r="G18" s="112"/>
    </row>
    <row r="19" spans="1:7" x14ac:dyDescent="0.25">
      <c r="A19" s="128"/>
      <c r="B19" s="1"/>
      <c r="C19" s="99"/>
      <c r="D19" s="108"/>
      <c r="E19" s="163" t="str">
        <f>IF(OR(ISBLANK(C19),ISBLANK(D19)),"",D19*VLOOKUP((IF(OR(C19="Residential urban land",C19="Commercial/industrial urban land",C19="Open urban land",C19="Greenspace",C19="Community food growing",C19="Woodland",C19="Shrub", C19="Water"), "|||"&amp;C19, (VLOOKUP('Stage 2'!$E$9,Lookups!$C$661:$E$666,2,FALSE)&amp;"|"&amp;C19&amp;"|"&amp;VLOOKUP('Stage 2'!$E$12,Lookups!$C$670:$D$671,2,FALSE)&amp;"|"&amp;VLOOKUP('Stage 2'!$E$11,Lookups!$C$622:$E$644,3,FALSE)&amp;"|"&amp;VLOOKUP('Stage 2'!$E$10,Lookups!#REF!,2,FALSE)))),Lookups!$H$355:$J$618,3,FALSE))</f>
        <v/>
      </c>
      <c r="F19" s="1"/>
      <c r="G19" s="112"/>
    </row>
    <row r="20" spans="1:7" x14ac:dyDescent="0.25">
      <c r="A20" s="128"/>
      <c r="B20" s="1"/>
      <c r="C20" s="99"/>
      <c r="D20" s="108"/>
      <c r="E20" s="163" t="str">
        <f>IF(OR(ISBLANK(C20),ISBLANK(D20)),"",D20*VLOOKUP((IF(OR(C20="Residential urban land",C20="Commercial/industrial urban land",C20="Open urban land",C20="Greenspace",C20="Community food growing",C20="Woodland",C20="Shrub", C20="Water"), "|||"&amp;C20, (VLOOKUP('Stage 2'!$E$9,Lookups!$C$661:$E$666,2,FALSE)&amp;"|"&amp;C20&amp;"|"&amp;VLOOKUP('Stage 2'!$E$12,Lookups!$C$670:$D$671,2,FALSE)&amp;"|"&amp;VLOOKUP('Stage 2'!$E$11,Lookups!$C$622:$E$644,3,FALSE)&amp;"|"&amp;VLOOKUP('Stage 2'!$E$10,Lookups!#REF!,2,FALSE)))),Lookups!$H$355:$J$618,3,FALSE))</f>
        <v/>
      </c>
      <c r="F20" s="1"/>
      <c r="G20" s="112"/>
    </row>
    <row r="21" spans="1:7" x14ac:dyDescent="0.25">
      <c r="A21" s="128"/>
      <c r="B21" s="1"/>
      <c r="C21" s="99"/>
      <c r="D21" s="108"/>
      <c r="E21" s="163" t="str">
        <f>IF(OR(ISBLANK(C21),ISBLANK(D21)),"",D21*VLOOKUP((IF(OR(C21="Residential urban land",C21="Commercial/industrial urban land",C21="Open urban land",C21="Greenspace",C21="Community food growing",C21="Woodland",C21="Shrub", C21="Water"), "|||"&amp;C21, (VLOOKUP('Stage 2'!$E$9,Lookups!$C$661:$E$666,2,FALSE)&amp;"|"&amp;C21&amp;"|"&amp;VLOOKUP('Stage 2'!$E$12,Lookups!$C$670:$D$671,2,FALSE)&amp;"|"&amp;VLOOKUP('Stage 2'!$E$11,Lookups!$C$622:$E$644,3,FALSE)&amp;"|"&amp;VLOOKUP('Stage 2'!$E$10,Lookups!#REF!,2,FALSE)))),Lookups!$H$355:$J$618,3,FALSE))</f>
        <v/>
      </c>
      <c r="F21" s="1"/>
      <c r="G21" s="112"/>
    </row>
    <row r="22" spans="1:7" x14ac:dyDescent="0.25">
      <c r="A22" s="128"/>
      <c r="B22" s="1"/>
      <c r="C22" s="99"/>
      <c r="D22" s="108"/>
      <c r="E22" s="163" t="str">
        <f>IF(OR(ISBLANK(C22),ISBLANK(D22)),"",D22*VLOOKUP((IF(OR(C22="Residential urban land",C22="Commercial/industrial urban land",C22="Open urban land",C22="Greenspace",C22="Community food growing",C22="Woodland",C22="Shrub", C22="Water"), "|||"&amp;C22, (VLOOKUP('Stage 2'!$E$9,Lookups!$C$661:$E$666,2,FALSE)&amp;"|"&amp;C22&amp;"|"&amp;VLOOKUP('Stage 2'!$E$12,Lookups!$C$670:$D$671,2,FALSE)&amp;"|"&amp;VLOOKUP('Stage 2'!$E$11,Lookups!$C$622:$E$644,3,FALSE)&amp;"|"&amp;VLOOKUP('Stage 2'!$E$10,Lookups!#REF!,2,FALSE)))),Lookups!$H$355:$J$618,3,FALSE))</f>
        <v/>
      </c>
      <c r="F22" s="1"/>
      <c r="G22" s="112"/>
    </row>
    <row r="23" spans="1:7" x14ac:dyDescent="0.25">
      <c r="A23" s="128"/>
      <c r="B23" s="1"/>
      <c r="C23" s="99"/>
      <c r="D23" s="109"/>
      <c r="E23" s="163" t="str">
        <f>IF(OR(ISBLANK(C23),ISBLANK(D23)),"",D23*VLOOKUP((IF(OR(C23="Residential urban land",C23="Commercial/industrial urban land",C23="Open urban land",C23="Greenspace",C23="Community food growing",C23="Woodland",C23="Shrub", C23="Water"), "|||"&amp;C23, (VLOOKUP('Stage 2'!$E$9,Lookups!$C$661:$E$666,2,FALSE)&amp;"|"&amp;C23&amp;"|"&amp;VLOOKUP('Stage 2'!$E$12,Lookups!$C$670:$D$671,2,FALSE)&amp;"|"&amp;VLOOKUP('Stage 2'!$E$11,Lookups!$C$622:$E$644,3,FALSE)&amp;"|"&amp;VLOOKUP('Stage 2'!$E$10,Lookups!#REF!,2,FALSE)))),Lookups!$H$355:$J$618,3,FALSE))</f>
        <v/>
      </c>
      <c r="F23" s="1"/>
      <c r="G23" s="112"/>
    </row>
    <row r="24" spans="1:7" x14ac:dyDescent="0.25">
      <c r="A24" s="128"/>
      <c r="B24" s="1"/>
      <c r="C24" s="99"/>
      <c r="D24" s="107"/>
      <c r="E24" s="163" t="str">
        <f>IF(OR(ISBLANK(C24),ISBLANK(D24)),"",D24*VLOOKUP((IF(OR(C24="Residential urban land",C24="Commercial/industrial urban land",C24="Open urban land",C24="Greenspace",C24="Community food growing",C24="Woodland",C24="Shrub", C24="Water"), "|||"&amp;C24, (VLOOKUP('Stage 2'!$E$9,Lookups!$C$661:$E$666,2,FALSE)&amp;"|"&amp;C24&amp;"|"&amp;VLOOKUP('Stage 2'!$E$12,Lookups!$C$670:$D$671,2,FALSE)&amp;"|"&amp;VLOOKUP('Stage 2'!$E$11,Lookups!$C$622:$E$644,3,FALSE)&amp;"|"&amp;VLOOKUP('Stage 2'!$E$10,Lookups!#REF!,2,FALSE)))),Lookups!$H$355:$J$618,3,FALSE))</f>
        <v/>
      </c>
      <c r="F24" s="1"/>
      <c r="G24" s="112"/>
    </row>
    <row r="25" spans="1:7" x14ac:dyDescent="0.25">
      <c r="A25" s="128"/>
      <c r="B25" s="1"/>
      <c r="C25" s="99"/>
      <c r="D25" s="107"/>
      <c r="E25" s="163" t="str">
        <f>IF(OR(ISBLANK(C25),ISBLANK(D25)),"",D25*VLOOKUP((IF(OR(C25="Residential urban land",C25="Commercial/industrial urban land",C25="Open urban land",C25="Greenspace",C25="Community food growing",C25="Woodland",C25="Shrub", C25="Water"), "|||"&amp;C25, (VLOOKUP('Stage 2'!$E$9,Lookups!$C$661:$E$666,2,FALSE)&amp;"|"&amp;C25&amp;"|"&amp;VLOOKUP('Stage 2'!$E$12,Lookups!$C$670:$D$671,2,FALSE)&amp;"|"&amp;VLOOKUP('Stage 2'!$E$11,Lookups!$C$622:$E$644,3,FALSE)&amp;"|"&amp;VLOOKUP('Stage 2'!$E$10,Lookups!#REF!,2,FALSE)))),Lookups!$H$355:$J$618,3,FALSE))</f>
        <v/>
      </c>
      <c r="F25" s="1"/>
      <c r="G25" s="112"/>
    </row>
    <row r="26" spans="1:7" ht="15.75" thickBot="1" x14ac:dyDescent="0.3">
      <c r="A26" s="128"/>
      <c r="B26" s="1"/>
      <c r="C26" s="110"/>
      <c r="D26" s="111"/>
      <c r="E26" s="186" t="str">
        <f>IF(OR(ISBLANK(C26),ISBLANK(D26)),"",D26*VLOOKUP((IF(OR(C26="Residential urban land",C26="Commercial/industrial urban land",C26="Open urban land",C26="Greenspace",C26="Community food growing",C26="Woodland",C26="Shrub", C26="Water"), "|||"&amp;C26, (VLOOKUP('Stage 2'!$E$9,Lookups!$C$661:$E$666,2,FALSE)&amp;"|"&amp;C26&amp;"|"&amp;VLOOKUP('Stage 2'!$E$12,Lookups!$C$670:$D$671,2,FALSE)&amp;"|"&amp;VLOOKUP('Stage 2'!$E$11,Lookups!$C$622:$E$644,3,FALSE)&amp;"|"&amp;VLOOKUP('Stage 2'!$E$10,Lookups!#REF!,2,FALSE)))),Lookups!$H$355:$J$618,3,FALSE))</f>
        <v/>
      </c>
      <c r="F26" s="1"/>
      <c r="G26" s="112"/>
    </row>
    <row r="27" spans="1:7" x14ac:dyDescent="0.25">
      <c r="A27" s="128"/>
      <c r="B27" s="1"/>
      <c r="C27" s="66" t="s">
        <v>118</v>
      </c>
      <c r="D27" s="120">
        <f>SUM(D10:D26)</f>
        <v>0</v>
      </c>
      <c r="E27" s="94">
        <f>SUM(E10:E26)</f>
        <v>0</v>
      </c>
      <c r="F27" s="1"/>
      <c r="G27" s="112"/>
    </row>
    <row r="28" spans="1:7" ht="15.75" thickBot="1" x14ac:dyDescent="0.3">
      <c r="A28" s="128"/>
      <c r="B28" s="137"/>
      <c r="C28" s="125"/>
      <c r="D28" s="125"/>
      <c r="E28" s="125"/>
      <c r="F28" s="125"/>
      <c r="G28" s="126"/>
    </row>
    <row r="29" spans="1:7" ht="15.75" thickTop="1" x14ac:dyDescent="0.25"/>
  </sheetData>
  <sheetProtection algorithmName="SHA-512" hashValue="4hrWpLyTuXD2rzKKdwSG5Bi9A6NlCMP4raMfZDYpevd+a7rY4FIkwUiN2bjsEAxq/j5QRbvr2qYeWhaTPdhe6w==" saltValue="bz5M23zhDsIcwcfrZJCe3A==" spinCount="100000" sheet="1" selectLockedCells="1"/>
  <protectedRanges>
    <protectedRange algorithmName="SHA-512" hashValue="MvmTLotpKiuRnedI3A4NjKJPVt4Aw8hcOvmE+D0rBMjM9TiU4ekXkprnHN0k9oVg0inb+CLcUsLFrJxBFcC6uw==" saltValue="93Zg0snhziumGVhjlXa2zg==" spinCount="100000" sqref="C10:D26" name="Range1"/>
  </protectedRanges>
  <mergeCells count="2">
    <mergeCell ref="B3:G5"/>
    <mergeCell ref="C7:F7"/>
  </mergeCells>
  <dataValidations xWindow="165" yWindow="453" count="1">
    <dataValidation allowBlank="1" showInputMessage="1" showErrorMessage="1" prompt="Please enter area in hectares." sqref="D10:D26" xr:uid="{F230AB9C-8339-4373-B4B8-7B45A3D33AEE}"/>
  </dataValidations>
  <pageMargins left="0.7" right="0.7" top="0.75" bottom="0.75" header="0.3" footer="0.3"/>
  <extLst>
    <ext xmlns:x14="http://schemas.microsoft.com/office/spreadsheetml/2009/9/main" uri="{CCE6A557-97BC-4b89-ADB6-D9C93CAAB3DF}">
      <x14:dataValidations xmlns:xm="http://schemas.microsoft.com/office/excel/2006/main" xWindow="165" yWindow="453" count="1">
        <x14:dataValidation type="list" allowBlank="1" showInputMessage="1" showErrorMessage="1" errorTitle="Landcover" error="Please select all pre exisitng landcover types." prompt="Select post-development land use types from the drop down list." xr:uid="{FA0D53B1-FD66-49E4-975D-2D0980FA619E}">
          <x14:formula1>
            <xm:f>Lookups!$G$656:$G$663</xm:f>
          </x14:formula1>
          <xm:sqref>C10:C26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82EE-826E-403B-BCD4-7E1A897AA803}">
  <dimension ref="B2:L28"/>
  <sheetViews>
    <sheetView showRowColHeaders="0" zoomScaleNormal="100" workbookViewId="0">
      <selection activeCell="C16" sqref="C16:D16"/>
    </sheetView>
  </sheetViews>
  <sheetFormatPr defaultColWidth="9.140625" defaultRowHeight="15" x14ac:dyDescent="0.25"/>
  <cols>
    <col min="1" max="1" width="9.140625" style="127"/>
    <col min="2" max="2" width="4.85546875" style="127" customWidth="1"/>
    <col min="3" max="3" width="30.42578125" style="127" customWidth="1"/>
    <col min="4" max="4" width="26.85546875" style="127" customWidth="1"/>
    <col min="5" max="5" width="9.140625" style="127"/>
    <col min="6" max="6" width="22.140625" style="127" customWidth="1"/>
    <col min="7" max="7" width="23.28515625" style="127" customWidth="1"/>
    <col min="8" max="10" width="9.140625" style="127"/>
    <col min="11" max="11" width="7.140625" style="127" customWidth="1"/>
    <col min="12" max="16384" width="9.140625" style="127"/>
  </cols>
  <sheetData>
    <row r="2" spans="2:12" ht="15.75" thickBot="1" x14ac:dyDescent="0.3"/>
    <row r="3" spans="2:12" ht="15.75" thickTop="1" x14ac:dyDescent="0.25">
      <c r="B3" s="273" t="s">
        <v>123</v>
      </c>
      <c r="C3" s="274"/>
      <c r="D3" s="274"/>
      <c r="E3" s="274"/>
      <c r="F3" s="274"/>
      <c r="G3" s="274"/>
      <c r="H3" s="275"/>
    </row>
    <row r="4" spans="2:12" x14ac:dyDescent="0.25">
      <c r="B4" s="262"/>
      <c r="C4" s="263"/>
      <c r="D4" s="263"/>
      <c r="E4" s="263"/>
      <c r="F4" s="263"/>
      <c r="G4" s="263"/>
      <c r="H4" s="264"/>
    </row>
    <row r="5" spans="2:12" x14ac:dyDescent="0.25">
      <c r="B5" s="262"/>
      <c r="C5" s="263"/>
      <c r="D5" s="263"/>
      <c r="E5" s="263"/>
      <c r="F5" s="263"/>
      <c r="G5" s="263"/>
      <c r="H5" s="264"/>
    </row>
    <row r="6" spans="2:12" ht="17.25" x14ac:dyDescent="0.25">
      <c r="B6" s="122"/>
      <c r="C6" s="1"/>
      <c r="D6" s="1"/>
      <c r="E6" s="1"/>
      <c r="F6" s="1"/>
      <c r="G6" s="1"/>
      <c r="H6" s="112"/>
      <c r="L6" s="130"/>
    </row>
    <row r="7" spans="2:12" ht="18" x14ac:dyDescent="0.25">
      <c r="B7" s="122"/>
      <c r="C7" s="272" t="s">
        <v>124</v>
      </c>
      <c r="D7" s="272"/>
      <c r="E7" s="1"/>
      <c r="F7" s="1"/>
      <c r="G7" s="1"/>
      <c r="H7" s="112"/>
      <c r="L7" s="130"/>
    </row>
    <row r="8" spans="2:12" ht="18" hidden="1" customHeight="1" x14ac:dyDescent="0.35">
      <c r="B8" s="122"/>
      <c r="C8" s="1"/>
      <c r="D8" s="1"/>
      <c r="E8" s="1"/>
      <c r="F8" s="1"/>
      <c r="G8" s="1"/>
      <c r="H8" s="153"/>
      <c r="I8" s="156"/>
      <c r="J8" s="157"/>
      <c r="L8" s="132"/>
    </row>
    <row r="9" spans="2:12" ht="12" hidden="1" customHeight="1" x14ac:dyDescent="0.35">
      <c r="B9" s="122"/>
      <c r="C9" s="1"/>
      <c r="D9" s="1"/>
      <c r="E9" s="1"/>
      <c r="F9" s="1"/>
      <c r="G9" s="1"/>
      <c r="H9" s="154"/>
      <c r="I9" s="158"/>
      <c r="J9" s="159"/>
      <c r="L9" s="132"/>
    </row>
    <row r="10" spans="2:12" hidden="1" x14ac:dyDescent="0.25">
      <c r="B10" s="122"/>
      <c r="C10" s="21"/>
      <c r="D10" s="155"/>
      <c r="E10" s="21"/>
      <c r="F10" s="1"/>
      <c r="G10" s="1"/>
      <c r="H10" s="112"/>
    </row>
    <row r="11" spans="2:12" ht="15.75" hidden="1" thickBot="1" x14ac:dyDescent="0.3">
      <c r="B11" s="122"/>
      <c r="C11" s="63" t="s">
        <v>125</v>
      </c>
      <c r="D11" s="90" t="str">
        <f>'Stage 1'!D35</f>
        <v/>
      </c>
      <c r="E11" s="21"/>
      <c r="F11" s="1"/>
      <c r="G11" s="1"/>
      <c r="H11" s="112"/>
    </row>
    <row r="12" spans="2:12" ht="15.75" hidden="1" thickBot="1" x14ac:dyDescent="0.3">
      <c r="B12" s="122"/>
      <c r="C12" s="64" t="s">
        <v>126</v>
      </c>
      <c r="D12" s="92">
        <f>'Stage 3'!E27-'Stage 2'!E32</f>
        <v>0</v>
      </c>
      <c r="E12" s="21"/>
      <c r="F12" s="1"/>
      <c r="G12" s="1"/>
      <c r="H12" s="112"/>
    </row>
    <row r="13" spans="2:12" ht="15.75" hidden="1" thickBot="1" x14ac:dyDescent="0.3">
      <c r="B13" s="122"/>
      <c r="C13" s="62" t="s">
        <v>127</v>
      </c>
      <c r="D13" s="80" t="e">
        <f>D11+D12</f>
        <v>#VALUE!</v>
      </c>
      <c r="E13" s="18"/>
      <c r="F13" s="1"/>
      <c r="G13" s="1"/>
      <c r="H13" s="112"/>
    </row>
    <row r="14" spans="2:12" hidden="1" x14ac:dyDescent="0.25">
      <c r="B14" s="122"/>
      <c r="C14" s="15" t="s">
        <v>128</v>
      </c>
      <c r="D14" s="91" t="e">
        <f>D13*1.2</f>
        <v>#VALUE!</v>
      </c>
      <c r="E14" s="18"/>
      <c r="F14" s="1"/>
      <c r="G14" s="1"/>
      <c r="H14" s="112"/>
    </row>
    <row r="15" spans="2:12" ht="11.25" customHeight="1" x14ac:dyDescent="0.25">
      <c r="B15" s="122"/>
      <c r="C15" s="9"/>
      <c r="D15" s="11"/>
      <c r="E15" s="12"/>
      <c r="F15" s="1"/>
      <c r="G15" s="1"/>
      <c r="H15" s="112"/>
    </row>
    <row r="16" spans="2:12" ht="24.75" customHeight="1" x14ac:dyDescent="0.25">
      <c r="B16" s="122"/>
      <c r="C16" s="276" t="str">
        <f>IFERROR(IF(AND('Stage 1'!$D$9&lt;DATE(2025,1,1),OR((VLOOKUP('Stage 1'!$D$14,Lookups!$C$8:$G$88,2,FALSE))&gt;(VLOOKUP('Stage 1'!$D$14,Lookups!$C$8:$G$88,4,FALSE)),(VLOOKUP('Stage 1'!$D$14,Lookups!$C$8:$G$88,3,FALSE))&gt;(VLOOKUP('Stage 1'!$D$14,Lookups!$C$8:$G$88,5,FALSE)))),"Post-2025 Annual Nutrient Budget","Annual Nutrient Budget"),"")</f>
        <v/>
      </c>
      <c r="D16" s="276"/>
      <c r="E16" s="12"/>
      <c r="F16" s="276" t="str">
        <f>IFERROR(IF(AND('Stage 1'!$D$9&lt;DATE(2025,1,1),OR((VLOOKUP('Stage 1'!$D$14,Lookups!$C$8:$G$88,2,FALSE))&gt;(VLOOKUP('Stage 1'!$D$14,Lookups!$C$8:$G$88,4,FALSE)),(VLOOKUP('Stage 1'!$D$14,Lookups!$C$8:$G$88,3,FALSE))&gt;(VLOOKUP('Stage 1'!$D$14,Lookups!$C$8:$G$88,5,FALSE)))),"Pre-2025 Annual Nutrient Budget",""),"")</f>
        <v/>
      </c>
      <c r="G16" s="276"/>
      <c r="H16" s="112"/>
    </row>
    <row r="17" spans="2:8" ht="15" hidden="1" customHeight="1" x14ac:dyDescent="0.25">
      <c r="B17" s="122"/>
      <c r="C17" s="277" t="s">
        <v>129</v>
      </c>
      <c r="D17" s="279" t="e">
        <f>IF(ROUND(#REF!,2)&lt;0,0&amp;" kg TP/year",ROUND(#REF!,2)&amp;" kg TP/year")</f>
        <v>#REF!</v>
      </c>
      <c r="E17" s="1"/>
      <c r="F17" s="277" t="str">
        <f>IFERROR(IF(AND('Stage 1'!$D$9&lt;DATE(2025,1,1),OR((VLOOKUP('Stage 1'!$D$14,Lookups!$C$8:$G$88,2,FALSE))&gt;(VLOOKUP('Stage 1'!$D$14,Lookups!$C$8:$G$88,4,FALSE)),(VLOOKUP('Stage 1'!$D$14,Lookups!$C$8:$G$88,3,FALSE))&gt;(VLOOKUP('Stage 1'!$D$14,Lookups!$C$8:$G$88,5,FALSE)))),"The pre-2025 annual phosphorus load to mitigate is:",""),"")</f>
        <v/>
      </c>
      <c r="G17" s="278" t="str">
        <f>IFERROR(IF(AND('Stage 1'!$D$9&lt;DATE(2025,1,1),OR((VLOOKUP('Stage 1'!$D$14,Lookups!$C$8:$G$88,2,FALSE))&gt;(VLOOKUP('Stage 1'!$D$14,Lookups!$C$8:$G$88,4,FALSE)),(VLOOKUP('Stage 1'!$D$14,Lookups!$C$8:$G$88,3,FALSE))&gt;(VLOOKUP('Stage 1'!$D$14,Lookups!$C$8:$G$88,5,FALSE)))),IF(ROUND(('Stage 3'!#REF!-'Stage 2'!#REF!+'Stage 1'!#REF!)*1.2,2)&lt;0,0&amp;" kg TP/year",ROUND(('Stage 3'!#REF!-'Stage 2'!#REF!+'Stage 1'!#REF!)*1.2,2)&amp;" kg TP/year"),""),"")</f>
        <v/>
      </c>
      <c r="H17" s="112"/>
    </row>
    <row r="18" spans="2:8" ht="15" hidden="1" customHeight="1" x14ac:dyDescent="0.25">
      <c r="B18" s="122"/>
      <c r="C18" s="277"/>
      <c r="D18" s="279"/>
      <c r="E18" s="1"/>
      <c r="F18" s="277"/>
      <c r="G18" s="278"/>
      <c r="H18" s="112"/>
    </row>
    <row r="19" spans="2:8" ht="15" hidden="1" customHeight="1" x14ac:dyDescent="0.25">
      <c r="B19" s="122"/>
      <c r="C19" s="277"/>
      <c r="D19" s="279"/>
      <c r="E19" s="1"/>
      <c r="F19" s="277"/>
      <c r="G19" s="278"/>
      <c r="H19" s="112"/>
    </row>
    <row r="20" spans="2:8" ht="15" hidden="1" customHeight="1" x14ac:dyDescent="0.25">
      <c r="B20" s="122"/>
      <c r="C20" s="277"/>
      <c r="D20" s="279"/>
      <c r="E20" s="1"/>
      <c r="F20" s="277"/>
      <c r="G20" s="278"/>
      <c r="H20" s="112"/>
    </row>
    <row r="21" spans="2:8" ht="15" hidden="1" customHeight="1" x14ac:dyDescent="0.25">
      <c r="B21" s="122"/>
      <c r="C21" s="21"/>
      <c r="D21" s="49"/>
      <c r="E21" s="1"/>
      <c r="F21" s="1"/>
      <c r="G21" s="1"/>
      <c r="H21" s="112"/>
    </row>
    <row r="22" spans="2:8" ht="10.5" customHeight="1" x14ac:dyDescent="0.25">
      <c r="B22" s="122"/>
      <c r="C22" s="21"/>
      <c r="D22" s="49"/>
      <c r="E22" s="1"/>
      <c r="F22" s="76"/>
      <c r="G22" s="1"/>
      <c r="H22" s="112"/>
    </row>
    <row r="23" spans="2:8" ht="15" customHeight="1" x14ac:dyDescent="0.25">
      <c r="B23" s="122"/>
      <c r="C23" s="277" t="s">
        <v>130</v>
      </c>
      <c r="D23" s="279" t="e">
        <f>IF(ROUND(D14,2)&lt;0,0&amp;" kg TN/year",ROUND(D14,2)&amp;" kg TN/year")</f>
        <v>#VALUE!</v>
      </c>
      <c r="E23" s="1"/>
      <c r="F23" s="76"/>
      <c r="G23" s="278" t="str">
        <f>IFERROR(IF(AND('Stage 1'!$D$9&lt;DATE(2025,1,1),OR((VLOOKUP('Stage 1'!$D$14,Lookups!$C$8:$G$88,2,FALSE))&gt;(VLOOKUP('Stage 1'!$D$14,Lookups!$C$8:$G$88,4,FALSE)),(VLOOKUP('Stage 1'!$D$14,Lookups!$C$8:$G$88,3,FALSE))&gt;(VLOOKUP('Stage 1'!$D$14,Lookups!$C$8:$G$88,5,FALSE)))),IF(ROUND(('Stage 3'!E27-'Stage 2'!E32+'Stage 1'!H23)*1.2,2)&lt;0,0&amp;" kg TN/year",ROUND(('Stage 3'!E27-'Stage 2'!E32+'Stage 1'!H23)*1.2,2)&amp;" kg TN/year"),""),"")</f>
        <v/>
      </c>
      <c r="H23" s="112"/>
    </row>
    <row r="24" spans="2:8" ht="15.75" customHeight="1" x14ac:dyDescent="0.25">
      <c r="B24" s="122"/>
      <c r="C24" s="277"/>
      <c r="D24" s="279"/>
      <c r="E24" s="1"/>
      <c r="F24" s="277" t="str">
        <f>IFERROR(IF(AND('Stage 1'!$D$9&lt;DATE(2025,1,1),OR((VLOOKUP('Stage 1'!$D$14,Lookups!$C$8:$G$88,2,FALSE))&gt;(VLOOKUP('Stage 1'!$D$14,Lookups!$C$8:$G$88,4,FALSE)),(VLOOKUP('Stage 1'!$D$14,Lookups!$C$8:$G$88,3,FALSE))&gt;(VLOOKUP('Stage 1'!$D$14,Lookups!$C$8:$G$88,5,FALSE)))),"The pre-2025 annual nitrogen load to mitigate is:",""),"")</f>
        <v/>
      </c>
      <c r="G24" s="278"/>
      <c r="H24" s="112"/>
    </row>
    <row r="25" spans="2:8" ht="15" customHeight="1" x14ac:dyDescent="0.25">
      <c r="B25" s="122"/>
      <c r="C25" s="277"/>
      <c r="D25" s="279"/>
      <c r="E25" s="1"/>
      <c r="F25" s="277"/>
      <c r="G25" s="278"/>
      <c r="H25" s="112"/>
    </row>
    <row r="26" spans="2:8" ht="15.75" customHeight="1" x14ac:dyDescent="0.25">
      <c r="B26" s="122"/>
      <c r="C26" s="277"/>
      <c r="D26" s="279"/>
      <c r="E26" s="1"/>
      <c r="F26" s="277"/>
      <c r="G26" s="278"/>
      <c r="H26" s="112"/>
    </row>
    <row r="27" spans="2:8" ht="15.75" thickBot="1" x14ac:dyDescent="0.3">
      <c r="B27" s="137"/>
      <c r="C27" s="125"/>
      <c r="D27" s="125"/>
      <c r="E27" s="125"/>
      <c r="F27" s="125"/>
      <c r="G27" s="125"/>
      <c r="H27" s="126"/>
    </row>
    <row r="28" spans="2:8" ht="15.75" thickTop="1" x14ac:dyDescent="0.25"/>
  </sheetData>
  <sheetProtection algorithmName="SHA-512" hashValue="l1fktuIbstm2I7ebw2bZLolmnTYPjR6FO/Bd8mAOAkbQxioA/Mnr6kKpLr6E0sQBha+NrUkm/vkD2tZbhRqOrw==" saltValue="hUZPN8vcR5J0Wf4EEYVuWg==" spinCount="100000" sheet="1" selectLockedCells="1" selectUnlockedCells="1"/>
  <mergeCells count="12">
    <mergeCell ref="B3:H5"/>
    <mergeCell ref="C7:D7"/>
    <mergeCell ref="F16:G16"/>
    <mergeCell ref="F17:F20"/>
    <mergeCell ref="F24:F26"/>
    <mergeCell ref="G17:G20"/>
    <mergeCell ref="G23:G26"/>
    <mergeCell ref="C17:C20"/>
    <mergeCell ref="C23:C26"/>
    <mergeCell ref="D17:D20"/>
    <mergeCell ref="D23:D26"/>
    <mergeCell ref="C16:D16"/>
  </mergeCells>
  <conditionalFormatting sqref="G17:G20">
    <cfRule type="expression" dxfId="1" priority="2">
      <formula>($C$16="Post-2025 Annual Nutrient Budget")</formula>
    </cfRule>
  </conditionalFormatting>
  <conditionalFormatting sqref="G23:G26">
    <cfRule type="expression" dxfId="0" priority="1">
      <formula>($C$16="Post-2025 Annual Nutrient Budget")</formula>
    </cfRule>
  </conditionalFormatting>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C3125CCC-BE42-4D41-A6C3-63F556A5FD41}">
          <x14:formula1>
            <xm:f>'C:\Users\DS56\OneDrive - Ricardo Plc\NE NN\[Copy of Herefordshire Council Phosphate Budget Calculator_Final.xlsx]Stage 2 and 3 lookups'!#REF!</xm:f>
          </x14:formula1>
          <xm:sqref>J9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1709A144B6CB1247B0EB17D39170EEBB" ma:contentTypeVersion="13" ma:contentTypeDescription="Create a new document." ma:contentTypeScope="" ma:versionID="67ecd45f770d3e359dffe841dc5eb5e3">
  <xsd:schema xmlns:xsd="http://www.w3.org/2001/XMLSchema" xmlns:xs="http://www.w3.org/2001/XMLSchema" xmlns:p="http://schemas.microsoft.com/office/2006/metadata/properties" xmlns:ns2="662745e8-e224-48e8-a2e3-254862b8c2f5" xmlns:ns3="50608f39-3744-4f2b-8ddf-6077ea9dcf84" xmlns:ns4="41b1b97e-58d0-4f82-aacc-4a7d6fa43521" targetNamespace="http://schemas.microsoft.com/office/2006/metadata/properties" ma:root="true" ma:fieldsID="42e099b84febb67c73aa22ba39b9046a" ns2:_="" ns3:_="" ns4:_="">
    <xsd:import namespace="662745e8-e224-48e8-a2e3-254862b8c2f5"/>
    <xsd:import namespace="50608f39-3744-4f2b-8ddf-6077ea9dcf84"/>
    <xsd:import namespace="41b1b97e-58d0-4f82-aacc-4a7d6fa43521"/>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DateTaken" minOccurs="0"/>
                <xsd:element ref="ns3:MediaLengthInSeconds"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9ba13cf-7d0b-4653-bdd4-d6cd8989d710}" ma:internalName="TaxCatchAll" ma:showField="CatchAllData" ma:web="41b1b97e-58d0-4f82-aacc-4a7d6fa4352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9ba13cf-7d0b-4653-bdd4-d6cd8989d710}" ma:internalName="TaxCatchAllLabel" ma:readOnly="true" ma:showField="CatchAllDataLabel" ma:web="41b1b97e-58d0-4f82-aacc-4a7d6fa43521">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Natural England Programmes" ma:internalName="Team">
      <xsd:simpleType>
        <xsd:restriction base="dms:Text"/>
      </xsd:simpleType>
    </xsd:element>
    <xsd:element name="Topic" ma:index="20" nillable="true" ma:displayName="Topic" ma:default="Strategic solution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608f39-3744-4f2b-8ddf-6077ea9dcf84"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Length (seconds)" ma:internalName="MediaLengthInSeconds" ma:readOnly="true">
      <xsd:simpleType>
        <xsd:restriction base="dms:Unknown"/>
      </xsd:simpleType>
    </xsd:element>
    <xsd:element name="MediaServiceAutoTags" ma:index="33" nillable="true" ma:displayName="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b1b97e-58d0-4f82-aacc-4a7d6fa43521"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Strategic solutions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Team xmlns="662745e8-e224-48e8-a2e3-254862b8c2f5">Natural England Programmes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Props1.xml><?xml version="1.0" encoding="utf-8"?>
<ds:datastoreItem xmlns:ds="http://schemas.openxmlformats.org/officeDocument/2006/customXml" ds:itemID="{BBF8656C-8C36-4732-B584-41BDBC0145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50608f39-3744-4f2b-8ddf-6077ea9dcf84"/>
    <ds:schemaRef ds:uri="41b1b97e-58d0-4f82-aacc-4a7d6fa435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DFBB94-DC6E-452A-AC16-2BE5F8D43041}">
  <ds:schemaRefs>
    <ds:schemaRef ds:uri="Microsoft.SharePoint.Taxonomy.ContentTypeSync"/>
  </ds:schemaRefs>
</ds:datastoreItem>
</file>

<file path=customXml/itemProps3.xml><?xml version="1.0" encoding="utf-8"?>
<ds:datastoreItem xmlns:ds="http://schemas.openxmlformats.org/officeDocument/2006/customXml" ds:itemID="{23857E8E-BF6E-4112-B023-48CB4BE0AE2B}">
  <ds:schemaRefs>
    <ds:schemaRef ds:uri="http://schemas.microsoft.com/sharepoint/v3/contenttype/forms"/>
  </ds:schemaRefs>
</ds:datastoreItem>
</file>

<file path=customXml/itemProps4.xml><?xml version="1.0" encoding="utf-8"?>
<ds:datastoreItem xmlns:ds="http://schemas.openxmlformats.org/officeDocument/2006/customXml" ds:itemID="{28BF9586-9E64-41AB-A398-71D203ACFF62}">
  <ds:schemaRefs>
    <ds:schemaRef ds:uri="http://schemas.microsoft.com/office/2006/metadata/properties"/>
    <ds:schemaRef ds:uri="http://schemas.microsoft.com/office/infopath/2007/PartnerControls"/>
    <ds:schemaRef ds:uri="662745e8-e224-48e8-a2e3-254862b8c2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vt:lpstr>
      <vt:lpstr>Background</vt:lpstr>
      <vt:lpstr>Solent Marine Sites</vt:lpstr>
      <vt:lpstr>Instructions</vt:lpstr>
      <vt:lpstr>Development site details</vt:lpstr>
      <vt:lpstr>Stage 1</vt:lpstr>
      <vt:lpstr>Stage 2</vt:lpstr>
      <vt:lpstr>Stage 3</vt:lpstr>
      <vt:lpstr>Stage 4</vt:lpstr>
      <vt:lpstr>Stage 4 (2)</vt:lpstr>
      <vt:lpstr>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Sealy, Declan</dc:creator>
  <cp:keywords/>
  <dc:description/>
  <cp:lastModifiedBy>Aziz, Rebecca (NE)</cp:lastModifiedBy>
  <cp:revision/>
  <dcterms:created xsi:type="dcterms:W3CDTF">2021-10-14T13:24:34Z</dcterms:created>
  <dcterms:modified xsi:type="dcterms:W3CDTF">2022-05-27T08:38:21Z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0x010100A5BF1C78D9F64B679A5EBDE1C6598EBC01001709A144B6CB1247B0EB17D39170EEBB</vt:lpwstr>
  </property>
  <property fmtid="{D5CDD505-2E9C-101B-9397-08002B2CF9AE}" pid="3" name="InformationType">
    <vt:lpwstr/>
  </property>
  <property fmtid="{D5CDD505-2E9C-101B-9397-08002B2CF9AE}" pid="4" name="Distribution">
    <vt:lpwstr>9;#Internal Defra Group|0867f7b3-e76e-40ca-bb1f-5ba341a49230</vt:lpwstr>
  </property>
  <property fmtid="{D5CDD505-2E9C-101B-9397-08002B2CF9AE}" pid="5" name="HOCopyrightLevel">
    <vt:lpwstr>7;#Crown|69589897-2828-4761-976e-717fd8e631c9</vt:lpwstr>
  </property>
  <property fmtid="{D5CDD505-2E9C-101B-9397-08002B2CF9AE}" pid="6" name="HOGovernmentSecurityClassification">
    <vt:lpwstr>6;#Official|14c80daa-741b-422c-9722-f71693c9ede4</vt:lpwstr>
  </property>
  <property fmtid="{D5CDD505-2E9C-101B-9397-08002B2CF9AE}" pid="7" name="HOSiteType">
    <vt:lpwstr>10;#Team|ff0485df-0575-416f-802f-e999165821b7</vt:lpwstr>
  </property>
  <property fmtid="{D5CDD505-2E9C-101B-9397-08002B2CF9AE}" pid="8" name="OrganisationalUnit">
    <vt:lpwstr>8;#NE|275df9ce-cd92-4318-adfe-db572e51c7ff</vt:lpwstr>
  </property>
</Properties>
</file>